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2.xml" ContentType="application/vnd.openxmlformats-officedocument.spreadsheetml.worksheet+xml"/>
  <Override PartName="/xl/chartsheets/sheet3.xml" ContentType="application/vnd.openxmlformats-officedocument.spreadsheetml.chart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0" yWindow="225" windowWidth="16200" windowHeight="8790"/>
  </bookViews>
  <sheets>
    <sheet name="NTCVishay" sheetId="1" r:id="rId1"/>
    <sheet name="Chart1" sheetId="4" r:id="rId2"/>
    <sheet name="Chart2" sheetId="5" r:id="rId3"/>
    <sheet name="NTC2" sheetId="2" r:id="rId4"/>
    <sheet name="Chart4" sheetId="7" r:id="rId5"/>
    <sheet name="Sheet3" sheetId="3" r:id="rId6"/>
  </sheets>
  <calcPr calcId="145621"/>
</workbook>
</file>

<file path=xl/calcChain.xml><?xml version="1.0" encoding="utf-8"?>
<calcChain xmlns="http://schemas.openxmlformats.org/spreadsheetml/2006/main">
  <c r="J9" i="2" l="1"/>
  <c r="S7" i="2" l="1"/>
  <c r="S6" i="2"/>
  <c r="E43" i="2"/>
  <c r="F43" i="2" s="1"/>
  <c r="I43" i="2" s="1"/>
  <c r="K43" i="2" s="1"/>
  <c r="M43" i="2" s="1"/>
  <c r="O43" i="2" s="1"/>
  <c r="E42" i="2"/>
  <c r="F42" i="2" s="1"/>
  <c r="I42" i="2" s="1"/>
  <c r="K42" i="2" s="1"/>
  <c r="M42" i="2" s="1"/>
  <c r="O42" i="2" s="1"/>
  <c r="B38" i="2"/>
  <c r="E25" i="2" s="1"/>
  <c r="F25" i="2" s="1"/>
  <c r="B37" i="2"/>
  <c r="G24" i="2" s="1"/>
  <c r="H24" i="2" s="1"/>
  <c r="J34" i="2"/>
  <c r="K34" i="2" s="1"/>
  <c r="E34" i="2"/>
  <c r="F34" i="2" s="1"/>
  <c r="C34" i="2"/>
  <c r="D34" i="2" s="1"/>
  <c r="J33" i="2"/>
  <c r="M33" i="2" s="1"/>
  <c r="N33" i="2" s="1"/>
  <c r="E33" i="2"/>
  <c r="F33" i="2" s="1"/>
  <c r="C33" i="2"/>
  <c r="D33" i="2" s="1"/>
  <c r="J32" i="2"/>
  <c r="M32" i="2" s="1"/>
  <c r="N32" i="2" s="1"/>
  <c r="G32" i="2"/>
  <c r="H32" i="2" s="1"/>
  <c r="C32" i="2"/>
  <c r="D32" i="2" s="1"/>
  <c r="J31" i="2"/>
  <c r="M31" i="2" s="1"/>
  <c r="N31" i="2" s="1"/>
  <c r="C31" i="2"/>
  <c r="D31" i="2" s="1"/>
  <c r="M30" i="2"/>
  <c r="N30" i="2" s="1"/>
  <c r="J30" i="2"/>
  <c r="K30" i="2" s="1"/>
  <c r="E30" i="2"/>
  <c r="F30" i="2" s="1"/>
  <c r="C30" i="2"/>
  <c r="D30" i="2" s="1"/>
  <c r="J29" i="2"/>
  <c r="M29" i="2" s="1"/>
  <c r="N29" i="2" s="1"/>
  <c r="G29" i="2"/>
  <c r="H29" i="2" s="1"/>
  <c r="E29" i="2"/>
  <c r="F29" i="2" s="1"/>
  <c r="C29" i="2"/>
  <c r="D29" i="2" s="1"/>
  <c r="G28" i="2"/>
  <c r="C28" i="2"/>
  <c r="J27" i="2"/>
  <c r="M27" i="2" s="1"/>
  <c r="N27" i="2" s="1"/>
  <c r="E27" i="2"/>
  <c r="F27" i="2" s="1"/>
  <c r="C27" i="2"/>
  <c r="D27" i="2" s="1"/>
  <c r="J26" i="2"/>
  <c r="K26" i="2" s="1"/>
  <c r="E26" i="2"/>
  <c r="F26" i="2" s="1"/>
  <c r="D26" i="2"/>
  <c r="C26" i="2"/>
  <c r="J25" i="2"/>
  <c r="K25" i="2" s="1"/>
  <c r="G25" i="2"/>
  <c r="H25" i="2" s="1"/>
  <c r="C25" i="2"/>
  <c r="D25" i="2" s="1"/>
  <c r="J24" i="2"/>
  <c r="M24" i="2" s="1"/>
  <c r="N24" i="2" s="1"/>
  <c r="C24" i="2"/>
  <c r="D24" i="2" s="1"/>
  <c r="J23" i="2"/>
  <c r="M23" i="2" s="1"/>
  <c r="N23" i="2" s="1"/>
  <c r="E23" i="2"/>
  <c r="F23" i="2" s="1"/>
  <c r="C23" i="2"/>
  <c r="D23" i="2" s="1"/>
  <c r="J22" i="2"/>
  <c r="K22" i="2" s="1"/>
  <c r="E22" i="2"/>
  <c r="F22" i="2" s="1"/>
  <c r="D22" i="2"/>
  <c r="C22" i="2"/>
  <c r="J21" i="2"/>
  <c r="M21" i="2" s="1"/>
  <c r="N21" i="2" s="1"/>
  <c r="G21" i="2"/>
  <c r="H21" i="2" s="1"/>
  <c r="C21" i="2"/>
  <c r="D21" i="2" s="1"/>
  <c r="J20" i="2"/>
  <c r="M20" i="2" s="1"/>
  <c r="N20" i="2" s="1"/>
  <c r="C20" i="2"/>
  <c r="D20" i="2" s="1"/>
  <c r="E19" i="2"/>
  <c r="C19" i="2"/>
  <c r="B19" i="2"/>
  <c r="J19" i="2" s="1"/>
  <c r="G18" i="2"/>
  <c r="E18" i="2"/>
  <c r="B18" i="2" s="1"/>
  <c r="C18" i="2"/>
  <c r="C17" i="2"/>
  <c r="J16" i="2"/>
  <c r="M16" i="2" s="1"/>
  <c r="N16" i="2" s="1"/>
  <c r="E16" i="2"/>
  <c r="F16" i="2" s="1"/>
  <c r="C16" i="2"/>
  <c r="D16" i="2" s="1"/>
  <c r="J15" i="2"/>
  <c r="M15" i="2" s="1"/>
  <c r="N15" i="2" s="1"/>
  <c r="G15" i="2"/>
  <c r="H15" i="2" s="1"/>
  <c r="E15" i="2"/>
  <c r="F15" i="2" s="1"/>
  <c r="D15" i="2"/>
  <c r="C15" i="2"/>
  <c r="J14" i="2"/>
  <c r="K14" i="2" s="1"/>
  <c r="G14" i="2"/>
  <c r="H14" i="2" s="1"/>
  <c r="C14" i="2"/>
  <c r="D14" i="2" s="1"/>
  <c r="J13" i="2"/>
  <c r="M13" i="2" s="1"/>
  <c r="N13" i="2" s="1"/>
  <c r="C13" i="2"/>
  <c r="D13" i="2" s="1"/>
  <c r="J12" i="2"/>
  <c r="K12" i="2" s="1"/>
  <c r="E12" i="2"/>
  <c r="F12" i="2" s="1"/>
  <c r="C12" i="2"/>
  <c r="D12" i="2" s="1"/>
  <c r="J11" i="2"/>
  <c r="M11" i="2" s="1"/>
  <c r="N11" i="2" s="1"/>
  <c r="G11" i="2"/>
  <c r="H11" i="2" s="1"/>
  <c r="E11" i="2"/>
  <c r="F11" i="2" s="1"/>
  <c r="D11" i="2"/>
  <c r="C11" i="2"/>
  <c r="J10" i="2"/>
  <c r="M10" i="2" s="1"/>
  <c r="N10" i="2" s="1"/>
  <c r="G10" i="2"/>
  <c r="H10" i="2" s="1"/>
  <c r="C10" i="2"/>
  <c r="D10" i="2" s="1"/>
  <c r="K9" i="2"/>
  <c r="J21" i="1"/>
  <c r="R10" i="2" l="1"/>
  <c r="S10" i="2" s="1"/>
  <c r="R33" i="2"/>
  <c r="S33" i="2" s="1"/>
  <c r="R30" i="2"/>
  <c r="S30" i="2" s="1"/>
  <c r="R32" i="2"/>
  <c r="S32" i="2" s="1"/>
  <c r="R34" i="2"/>
  <c r="S34" i="2" s="1"/>
  <c r="R31" i="2"/>
  <c r="S31" i="2" s="1"/>
  <c r="T7" i="2"/>
  <c r="R15" i="2"/>
  <c r="S15" i="2" s="1"/>
  <c r="R26" i="2"/>
  <c r="S26" i="2" s="1"/>
  <c r="R18" i="2"/>
  <c r="R24" i="2"/>
  <c r="S24" i="2" s="1"/>
  <c r="R19" i="2"/>
  <c r="S19" i="2" s="1"/>
  <c r="R25" i="2"/>
  <c r="S25" i="2" s="1"/>
  <c r="R17" i="2"/>
  <c r="S17" i="2" s="1"/>
  <c r="R23" i="2"/>
  <c r="S23" i="2" s="1"/>
  <c r="R16" i="2"/>
  <c r="S16" i="2" s="1"/>
  <c r="R12" i="2"/>
  <c r="S12" i="2" s="1"/>
  <c r="R29" i="2"/>
  <c r="S29" i="2" s="1"/>
  <c r="R22" i="2"/>
  <c r="S22" i="2" s="1"/>
  <c r="R21" i="2"/>
  <c r="S21" i="2" s="1"/>
  <c r="R28" i="2"/>
  <c r="S28" i="2" s="1"/>
  <c r="R20" i="2"/>
  <c r="S20" i="2" s="1"/>
  <c r="R14" i="2"/>
  <c r="S14" i="2" s="1"/>
  <c r="R13" i="2"/>
  <c r="S13" i="2" s="1"/>
  <c r="R27" i="2"/>
  <c r="S27" i="2" s="1"/>
  <c r="S18" i="2"/>
  <c r="R11" i="2"/>
  <c r="S11" i="2" s="1"/>
  <c r="M26" i="2"/>
  <c r="N26" i="2" s="1"/>
  <c r="M22" i="2"/>
  <c r="N22" i="2" s="1"/>
  <c r="M12" i="2"/>
  <c r="N12" i="2" s="1"/>
  <c r="K23" i="2"/>
  <c r="M34" i="2"/>
  <c r="N34" i="2" s="1"/>
  <c r="K16" i="2"/>
  <c r="K27" i="2"/>
  <c r="D18" i="2"/>
  <c r="J18" i="2"/>
  <c r="H18" i="2"/>
  <c r="F18" i="2"/>
  <c r="K19" i="2"/>
  <c r="M19" i="2"/>
  <c r="N19" i="2" s="1"/>
  <c r="K31" i="2"/>
  <c r="M9" i="2"/>
  <c r="N9" i="2" s="1"/>
  <c r="K24" i="2"/>
  <c r="K20" i="2"/>
  <c r="K10" i="2"/>
  <c r="G22" i="2"/>
  <c r="H22" i="2" s="1"/>
  <c r="G26" i="2"/>
  <c r="H26" i="2" s="1"/>
  <c r="M14" i="2"/>
  <c r="N14" i="2" s="1"/>
  <c r="G16" i="2"/>
  <c r="H16" i="2" s="1"/>
  <c r="K21" i="2"/>
  <c r="E31" i="2"/>
  <c r="F31" i="2" s="1"/>
  <c r="K11" i="2"/>
  <c r="G19" i="2"/>
  <c r="E20" i="2"/>
  <c r="F20" i="2" s="1"/>
  <c r="E24" i="2"/>
  <c r="F24" i="2" s="1"/>
  <c r="M25" i="2"/>
  <c r="N25" i="2" s="1"/>
  <c r="G27" i="2"/>
  <c r="H27" i="2" s="1"/>
  <c r="K29" i="2"/>
  <c r="K33" i="2"/>
  <c r="D19" i="2"/>
  <c r="G33" i="2"/>
  <c r="H33" i="2" s="1"/>
  <c r="K32" i="2"/>
  <c r="G12" i="2"/>
  <c r="H12" i="2" s="1"/>
  <c r="E13" i="2"/>
  <c r="F13" i="2" s="1"/>
  <c r="F19" i="2"/>
  <c r="G30" i="2"/>
  <c r="H30" i="2" s="1"/>
  <c r="G34" i="2"/>
  <c r="H34" i="2" s="1"/>
  <c r="K15" i="2"/>
  <c r="E17" i="2"/>
  <c r="B17" i="2" s="1"/>
  <c r="G23" i="2"/>
  <c r="H23" i="2" s="1"/>
  <c r="E10" i="2"/>
  <c r="F10" i="2" s="1"/>
  <c r="G13" i="2"/>
  <c r="H13" i="2" s="1"/>
  <c r="E14" i="2"/>
  <c r="F14" i="2" s="1"/>
  <c r="H19" i="2"/>
  <c r="E28" i="2"/>
  <c r="B28" i="2" s="1"/>
  <c r="G31" i="2"/>
  <c r="H31" i="2" s="1"/>
  <c r="E32" i="2"/>
  <c r="F32" i="2" s="1"/>
  <c r="K13" i="2"/>
  <c r="G17" i="2"/>
  <c r="G20" i="2"/>
  <c r="H20" i="2" s="1"/>
  <c r="E21" i="2"/>
  <c r="F21" i="2" s="1"/>
  <c r="C33" i="1"/>
  <c r="D33" i="1" s="1"/>
  <c r="E33" i="1"/>
  <c r="F33" i="1"/>
  <c r="G33" i="1"/>
  <c r="H33" i="1" s="1"/>
  <c r="J33" i="1"/>
  <c r="K33" i="1" s="1"/>
  <c r="C30" i="1"/>
  <c r="D30" i="1" s="1"/>
  <c r="E30" i="1"/>
  <c r="F30" i="1"/>
  <c r="G30" i="1"/>
  <c r="H30" i="1" s="1"/>
  <c r="J30" i="1"/>
  <c r="M30" i="1" s="1"/>
  <c r="N30" i="1" s="1"/>
  <c r="K30" i="1"/>
  <c r="C31" i="1"/>
  <c r="D31" i="1"/>
  <c r="E31" i="1"/>
  <c r="F31" i="1"/>
  <c r="G31" i="1"/>
  <c r="H31" i="1" s="1"/>
  <c r="J31" i="1"/>
  <c r="K31" i="1" s="1"/>
  <c r="C32" i="1"/>
  <c r="D32" i="1"/>
  <c r="E32" i="1"/>
  <c r="F32" i="1"/>
  <c r="G32" i="1"/>
  <c r="H32" i="1"/>
  <c r="J32" i="1"/>
  <c r="K32" i="1" s="1"/>
  <c r="M32" i="1"/>
  <c r="N32" i="1"/>
  <c r="C25" i="1"/>
  <c r="D25" i="1" s="1"/>
  <c r="E25" i="1"/>
  <c r="F25" i="1"/>
  <c r="G25" i="1"/>
  <c r="H25" i="1" s="1"/>
  <c r="J25" i="1"/>
  <c r="K25" i="1" s="1"/>
  <c r="M25" i="1"/>
  <c r="N25" i="1"/>
  <c r="C23" i="1"/>
  <c r="D23" i="1" s="1"/>
  <c r="E23" i="1"/>
  <c r="F23" i="1" s="1"/>
  <c r="G23" i="1"/>
  <c r="H23" i="1" s="1"/>
  <c r="J23" i="1"/>
  <c r="K23" i="1"/>
  <c r="M23" i="1"/>
  <c r="N23" i="1" s="1"/>
  <c r="C24" i="1"/>
  <c r="D24" i="1" s="1"/>
  <c r="E24" i="1"/>
  <c r="F24" i="1" s="1"/>
  <c r="G24" i="1"/>
  <c r="H24" i="1" s="1"/>
  <c r="J24" i="1"/>
  <c r="K24" i="1" s="1"/>
  <c r="C22" i="1"/>
  <c r="J10" i="1"/>
  <c r="H17" i="2" l="1"/>
  <c r="F17" i="2"/>
  <c r="D17" i="2"/>
  <c r="J17" i="2"/>
  <c r="M18" i="2"/>
  <c r="N18" i="2" s="1"/>
  <c r="K18" i="2"/>
  <c r="F28" i="2"/>
  <c r="H28" i="2"/>
  <c r="D28" i="2"/>
  <c r="J28" i="2"/>
  <c r="M33" i="1"/>
  <c r="N33" i="1" s="1"/>
  <c r="M31" i="1"/>
  <c r="N31" i="1" s="1"/>
  <c r="M24" i="1"/>
  <c r="N24" i="1" s="1"/>
  <c r="B37" i="1"/>
  <c r="G22" i="1" s="1"/>
  <c r="M17" i="2" l="1"/>
  <c r="N17" i="2" s="1"/>
  <c r="K17" i="2"/>
  <c r="M28" i="2"/>
  <c r="N28" i="2" s="1"/>
  <c r="K28" i="2"/>
  <c r="C12" i="1"/>
  <c r="D12" i="1" s="1"/>
  <c r="G12" i="1"/>
  <c r="H12" i="1" s="1"/>
  <c r="J12" i="1"/>
  <c r="M12" i="1" s="1"/>
  <c r="N12" i="1" s="1"/>
  <c r="C13" i="1"/>
  <c r="D13" i="1" s="1"/>
  <c r="G13" i="1"/>
  <c r="H13" i="1" s="1"/>
  <c r="J13" i="1"/>
  <c r="K13" i="1" s="1"/>
  <c r="J11" i="1"/>
  <c r="K11" i="1" s="1"/>
  <c r="G11" i="1"/>
  <c r="H11" i="1" s="1"/>
  <c r="C11" i="1"/>
  <c r="D11" i="1" s="1"/>
  <c r="J9" i="1"/>
  <c r="E43" i="1"/>
  <c r="F43" i="1" s="1"/>
  <c r="I43" i="1" s="1"/>
  <c r="K43" i="1" s="1"/>
  <c r="M43" i="1" s="1"/>
  <c r="O43" i="1" s="1"/>
  <c r="B38" i="1"/>
  <c r="E13" i="1" s="1"/>
  <c r="F13" i="1" s="1"/>
  <c r="J15" i="1"/>
  <c r="K15" i="1" s="1"/>
  <c r="E42" i="1"/>
  <c r="F42" i="1" s="1"/>
  <c r="I42" i="1" s="1"/>
  <c r="K42" i="1" s="1"/>
  <c r="M42" i="1" s="1"/>
  <c r="O42" i="1" s="1"/>
  <c r="C17" i="1"/>
  <c r="C18" i="1"/>
  <c r="C19" i="1"/>
  <c r="C16" i="1"/>
  <c r="D16" i="1"/>
  <c r="G16" i="1"/>
  <c r="H16" i="1" s="1"/>
  <c r="J16" i="1"/>
  <c r="M16" i="1" s="1"/>
  <c r="N16" i="1" s="1"/>
  <c r="K16" i="1"/>
  <c r="E28" i="1"/>
  <c r="B28" i="1" s="1"/>
  <c r="C28" i="1"/>
  <c r="C20" i="1"/>
  <c r="G26" i="1"/>
  <c r="H26" i="1" s="1"/>
  <c r="G29" i="1"/>
  <c r="H29" i="1" s="1"/>
  <c r="G34" i="1"/>
  <c r="H34" i="1" s="1"/>
  <c r="C10" i="1"/>
  <c r="D10" i="1" s="1"/>
  <c r="G10" i="1"/>
  <c r="H10" i="1" s="1"/>
  <c r="E15" i="1"/>
  <c r="F15" i="1" s="1"/>
  <c r="C34" i="1"/>
  <c r="D34" i="1" s="1"/>
  <c r="C15" i="1"/>
  <c r="D15" i="1" s="1"/>
  <c r="C21" i="1"/>
  <c r="D21" i="1" s="1"/>
  <c r="C26" i="1"/>
  <c r="D26" i="1"/>
  <c r="C27" i="1"/>
  <c r="D27" i="1" s="1"/>
  <c r="C29" i="1"/>
  <c r="D29" i="1" s="1"/>
  <c r="C14" i="1"/>
  <c r="D14" i="1" s="1"/>
  <c r="M9" i="1"/>
  <c r="N9" i="1"/>
  <c r="K9" i="1"/>
  <c r="J14" i="1"/>
  <c r="K14" i="1" s="1"/>
  <c r="M14" i="1"/>
  <c r="N14" i="1"/>
  <c r="M21" i="1"/>
  <c r="N21" i="1" s="1"/>
  <c r="J26" i="1"/>
  <c r="K26" i="1" s="1"/>
  <c r="M26" i="1"/>
  <c r="N26" i="1" s="1"/>
  <c r="J27" i="1"/>
  <c r="M27" i="1" s="1"/>
  <c r="N27" i="1" s="1"/>
  <c r="J29" i="1"/>
  <c r="K29" i="1" s="1"/>
  <c r="J34" i="1"/>
  <c r="K34" i="1" s="1"/>
  <c r="M34" i="1"/>
  <c r="N34" i="1"/>
  <c r="M10" i="1"/>
  <c r="N10" i="1" s="1"/>
  <c r="K10" i="1"/>
  <c r="K21" i="1" l="1"/>
  <c r="M15" i="1"/>
  <c r="N15" i="1" s="1"/>
  <c r="E21" i="1"/>
  <c r="F21" i="1" s="1"/>
  <c r="E11" i="1"/>
  <c r="F11" i="1" s="1"/>
  <c r="E26" i="1"/>
  <c r="F26" i="1" s="1"/>
  <c r="E22" i="1"/>
  <c r="M13" i="1"/>
  <c r="N13" i="1" s="1"/>
  <c r="E14" i="1"/>
  <c r="F14" i="1" s="1"/>
  <c r="E19" i="1"/>
  <c r="B19" i="1" s="1"/>
  <c r="E12" i="1"/>
  <c r="F12" i="1" s="1"/>
  <c r="K27" i="1"/>
  <c r="E10" i="1"/>
  <c r="F10" i="1" s="1"/>
  <c r="M29" i="1"/>
  <c r="N29" i="1" s="1"/>
  <c r="E34" i="1"/>
  <c r="F34" i="1" s="1"/>
  <c r="E16" i="1"/>
  <c r="F16" i="1" s="1"/>
  <c r="E17" i="1"/>
  <c r="B17" i="1" s="1"/>
  <c r="D17" i="1" s="1"/>
  <c r="K12" i="1"/>
  <c r="M11" i="1"/>
  <c r="N11" i="1" s="1"/>
  <c r="F28" i="1"/>
  <c r="J28" i="1"/>
  <c r="D28" i="1"/>
  <c r="J17" i="1"/>
  <c r="G27" i="1"/>
  <c r="H27" i="1" s="1"/>
  <c r="G19" i="1"/>
  <c r="G21" i="1"/>
  <c r="H21" i="1" s="1"/>
  <c r="G20" i="1"/>
  <c r="G18" i="1"/>
  <c r="E29" i="1"/>
  <c r="F29" i="1" s="1"/>
  <c r="G15" i="1"/>
  <c r="H15" i="1" s="1"/>
  <c r="E27" i="1"/>
  <c r="F27" i="1" s="1"/>
  <c r="G14" i="1"/>
  <c r="H14" i="1" s="1"/>
  <c r="E20" i="1"/>
  <c r="G28" i="1"/>
  <c r="H28" i="1" s="1"/>
  <c r="E18" i="1"/>
  <c r="B18" i="1" s="1"/>
  <c r="G17" i="1"/>
  <c r="H19" i="1" l="1"/>
  <c r="H22" i="1"/>
  <c r="J22" i="1"/>
  <c r="D22" i="1"/>
  <c r="F22" i="1"/>
  <c r="H17" i="1"/>
  <c r="F17" i="1"/>
  <c r="D19" i="1"/>
  <c r="F19" i="1"/>
  <c r="J19" i="1"/>
  <c r="K28" i="1"/>
  <c r="M28" i="1"/>
  <c r="N28" i="1" s="1"/>
  <c r="D18" i="1"/>
  <c r="F18" i="1"/>
  <c r="H18" i="1"/>
  <c r="J18" i="1"/>
  <c r="K17" i="1"/>
  <c r="M17" i="1"/>
  <c r="N17" i="1" s="1"/>
  <c r="D20" i="1"/>
  <c r="F20" i="1"/>
  <c r="H20" i="1"/>
  <c r="J20" i="1"/>
  <c r="K22" i="1" l="1"/>
  <c r="M22" i="1"/>
  <c r="N22" i="1" s="1"/>
  <c r="K19" i="1"/>
  <c r="M19" i="1"/>
  <c r="N19" i="1" s="1"/>
  <c r="K18" i="1"/>
  <c r="M18" i="1"/>
  <c r="N18" i="1" s="1"/>
  <c r="K20" i="1"/>
  <c r="M20" i="1"/>
  <c r="N20" i="1" s="1"/>
</calcChain>
</file>

<file path=xl/sharedStrings.xml><?xml version="1.0" encoding="utf-8"?>
<sst xmlns="http://schemas.openxmlformats.org/spreadsheetml/2006/main" count="92" uniqueCount="33">
  <si>
    <t>Temp</t>
  </si>
  <si>
    <t>NTC</t>
  </si>
  <si>
    <t>A</t>
  </si>
  <si>
    <t>B</t>
  </si>
  <si>
    <t>C</t>
  </si>
  <si>
    <t>Resistors</t>
  </si>
  <si>
    <t>NTC Alpha</t>
  </si>
  <si>
    <t>2.5 Vref</t>
  </si>
  <si>
    <t>ADC out</t>
  </si>
  <si>
    <t>ADC Hex</t>
  </si>
  <si>
    <t>K25/85</t>
  </si>
  <si>
    <t>K Value</t>
  </si>
  <si>
    <t>K</t>
  </si>
  <si>
    <t>K25/60</t>
  </si>
  <si>
    <t>error%</t>
  </si>
  <si>
    <t>Approx</t>
  </si>
  <si>
    <t>AD1</t>
  </si>
  <si>
    <t>alpha</t>
  </si>
  <si>
    <t>Rest</t>
  </si>
  <si>
    <t xml:space="preserve">Temp (C) </t>
  </si>
  <si>
    <t xml:space="preserve">Temp (F) </t>
  </si>
  <si>
    <t>70a1f6</t>
  </si>
  <si>
    <t>2830b0</t>
  </si>
  <si>
    <t>ohms</t>
  </si>
  <si>
    <t>open</t>
  </si>
  <si>
    <t>Charge Threshold</t>
  </si>
  <si>
    <t>Shutdown Threshold</t>
  </si>
  <si>
    <t>Error No Connection</t>
  </si>
  <si>
    <t>http://www.vishay.com/docs/29048/ntcle203.pdf</t>
  </si>
  <si>
    <t>http://www.vishay.com/docs/29053/ntcintro.pdf</t>
  </si>
  <si>
    <t>http://www.electronics.teipir.gr/personalpages/papageorgas/download/2/PROSTHETO_YLIKO_2012/COMPONENTS_DATASHEETS/THERMISTORS/PDF_Applicationnotes.pdf</t>
  </si>
  <si>
    <t>m</t>
  </si>
  <si>
    <t>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</si>
</sst>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000"/>
    <numFmt numFmtId="165" formatCode="0.000%"/>
    <numFmt numFmtId="166" formatCode="0.000E+00"/>
    <numFmt numFmtId="167" formatCode="0.000000"/>
    <numFmt numFmtId="168" formatCode="0.0"/>
    <numFmt numFmtId="169" formatCode="0.000"/>
  </numFmts>
  <fonts count="7" x14ac:knownFonts="1">
    <font>
      <sz val="10"/>
      <name val="Arial"/>
    </font>
    <font>
      <sz val="8"/>
      <name val="Arial"/>
    </font>
    <font>
      <sz val="10"/>
      <color indexed="10"/>
      <name val="Arial"/>
    </font>
    <font>
      <b/>
      <sz val="10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11" fontId="0" fillId="0" borderId="0" xfId="0" applyNumberFormat="1"/>
    <xf numFmtId="164" fontId="0" fillId="0" borderId="0" xfId="0" applyNumberFormat="1"/>
    <xf numFmtId="0" fontId="0" fillId="0" borderId="0" xfId="0" quotePrefix="1"/>
    <xf numFmtId="2" fontId="0" fillId="0" borderId="0" xfId="0" applyNumberFormat="1"/>
    <xf numFmtId="0" fontId="0" fillId="0" borderId="0" xfId="0" applyAlignment="1">
      <alignment horizontal="right"/>
    </xf>
    <xf numFmtId="165" fontId="0" fillId="0" borderId="0" xfId="0" applyNumberFormat="1"/>
    <xf numFmtId="166" fontId="0" fillId="0" borderId="0" xfId="0" applyNumberFormat="1"/>
    <xf numFmtId="0" fontId="2" fillId="0" borderId="0" xfId="0" applyFont="1" applyAlignment="1">
      <alignment horizontal="right"/>
    </xf>
    <xf numFmtId="49" fontId="0" fillId="0" borderId="0" xfId="0" applyNumberFormat="1"/>
    <xf numFmtId="167" fontId="0" fillId="0" borderId="0" xfId="0" applyNumberFormat="1"/>
    <xf numFmtId="168" fontId="0" fillId="0" borderId="0" xfId="0" applyNumberFormat="1"/>
    <xf numFmtId="0" fontId="3" fillId="0" borderId="0" xfId="0" applyFont="1"/>
    <xf numFmtId="11" fontId="3" fillId="0" borderId="0" xfId="0" applyNumberFormat="1" applyFont="1"/>
    <xf numFmtId="165" fontId="3" fillId="0" borderId="0" xfId="0" applyNumberFormat="1" applyFont="1"/>
    <xf numFmtId="166" fontId="3" fillId="0" borderId="0" xfId="0" applyNumberFormat="1" applyFont="1"/>
    <xf numFmtId="164" fontId="3" fillId="0" borderId="0" xfId="0" applyNumberFormat="1" applyFont="1"/>
    <xf numFmtId="2" fontId="3" fillId="0" borderId="0" xfId="0" applyNumberFormat="1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1" fontId="5" fillId="0" borderId="0" xfId="0" applyNumberFormat="1" applyFont="1"/>
    <xf numFmtId="0" fontId="6" fillId="0" borderId="0" xfId="0" applyFont="1" applyAlignment="1">
      <alignment horizontal="right"/>
    </xf>
    <xf numFmtId="169" fontId="0" fillId="0" borderId="0" xfId="0" applyNumberFormat="1" applyBorder="1" applyAlignment="1" applyProtection="1">
      <alignment horizontal="center"/>
      <protection hidden="1"/>
    </xf>
    <xf numFmtId="169" fontId="3" fillId="0" borderId="0" xfId="0" applyNumberFormat="1" applyFont="1" applyBorder="1" applyAlignment="1" applyProtection="1">
      <alignment horizontal="center"/>
      <protection hidden="1"/>
    </xf>
    <xf numFmtId="166" fontId="5" fillId="0" borderId="0" xfId="0" applyNumberFormat="1" applyFont="1"/>
    <xf numFmtId="165" fontId="5" fillId="0" borderId="0" xfId="0" applyNumberFormat="1" applyFont="1"/>
    <xf numFmtId="164" fontId="5" fillId="0" borderId="0" xfId="0" applyNumberFormat="1" applyFont="1"/>
    <xf numFmtId="2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2.xml"/><Relationship Id="rId7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3.xml"/><Relationship Id="rId5" Type="http://schemas.openxmlformats.org/officeDocument/2006/relationships/chartsheet" Target="chartsheets/sheet3.xml"/><Relationship Id="rId10" Type="http://schemas.openxmlformats.org/officeDocument/2006/relationships/calcChain" Target="calcChain.xml"/><Relationship Id="rId4" Type="http://schemas.openxmlformats.org/officeDocument/2006/relationships/worksheet" Target="worksheets/sheet2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Sunseeker NTC Resistor Temperature Curves</a:t>
            </a:r>
          </a:p>
        </c:rich>
      </c:tx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Data Sheet</c:v>
          </c:tx>
          <c:spPr>
            <a:ln>
              <a:noFill/>
            </a:ln>
          </c:spPr>
          <c:xVal>
            <c:numRef>
              <c:f>NTCVishay!$A$10:$A$34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NTCVishay!$B$10:$B$34</c:f>
              <c:numCache>
                <c:formatCode>0.000E+00</c:formatCode>
                <c:ptCount val="25"/>
                <c:pt idx="0">
                  <c:v>340900</c:v>
                </c:pt>
                <c:pt idx="1">
                  <c:v>204400</c:v>
                </c:pt>
                <c:pt idx="2">
                  <c:v>160000</c:v>
                </c:pt>
                <c:pt idx="3">
                  <c:v>126100</c:v>
                </c:pt>
                <c:pt idx="4">
                  <c:v>100000</c:v>
                </c:pt>
                <c:pt idx="5">
                  <c:v>64080</c:v>
                </c:pt>
                <c:pt idx="6">
                  <c:v>51750</c:v>
                </c:pt>
                <c:pt idx="7">
                  <c:v>49269.211046098848</c:v>
                </c:pt>
                <c:pt idx="8">
                  <c:v>47249.589224504634</c:v>
                </c:pt>
                <c:pt idx="9">
                  <c:v>45324.754439196782</c:v>
                </c:pt>
                <c:pt idx="10" formatCode="0.000">
                  <c:v>43788.153001382801</c:v>
                </c:pt>
                <c:pt idx="11" formatCode="0.000">
                  <c:v>42020.832987922593</c:v>
                </c:pt>
                <c:pt idx="12" formatCode="0.000">
                  <c:v>40333.508690218456</c:v>
                </c:pt>
                <c:pt idx="13" formatCode="0.000">
                  <c:v>38722.195729607905</c:v>
                </c:pt>
                <c:pt idx="14" formatCode="0.000">
                  <c:v>37183.125224085219</c:v>
                </c:pt>
                <c:pt idx="15" formatCode="0.000">
                  <c:v>35712.731256649546</c:v>
                </c:pt>
                <c:pt idx="16">
                  <c:v>34310</c:v>
                </c:pt>
                <c:pt idx="17">
                  <c:v>28160</c:v>
                </c:pt>
                <c:pt idx="18">
                  <c:v>24106.035686367832</c:v>
                </c:pt>
                <c:pt idx="19">
                  <c:v>23220</c:v>
                </c:pt>
                <c:pt idx="20">
                  <c:v>19245.946382032289</c:v>
                </c:pt>
                <c:pt idx="21">
                  <c:v>16024.590619940183</c:v>
                </c:pt>
                <c:pt idx="22">
                  <c:v>13402.307451357761</c:v>
                </c:pt>
                <c:pt idx="23">
                  <c:v>11257.693146645792</c:v>
                </c:pt>
                <c:pt idx="24">
                  <c:v>9496</c:v>
                </c:pt>
              </c:numCache>
            </c:numRef>
          </c:yVal>
          <c:smooth val="0"/>
        </c:ser>
        <c:ser>
          <c:idx val="2"/>
          <c:order val="1"/>
          <c:tx>
            <c:v>K25/85</c:v>
          </c:tx>
          <c:xVal>
            <c:numRef>
              <c:f>NTCVishay!$A$10:$A$34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NTCVishay!$G$10:$G$34</c:f>
              <c:numCache>
                <c:formatCode>0.000E+00</c:formatCode>
                <c:ptCount val="25"/>
                <c:pt idx="0">
                  <c:v>361906.94634238578</c:v>
                </c:pt>
                <c:pt idx="1">
                  <c:v>210533.58271070564</c:v>
                </c:pt>
                <c:pt idx="2">
                  <c:v>162857.35976906939</c:v>
                </c:pt>
                <c:pt idx="3">
                  <c:v>127085.90598512306</c:v>
                </c:pt>
                <c:pt idx="4">
                  <c:v>100000</c:v>
                </c:pt>
                <c:pt idx="5">
                  <c:v>63378.162232203671</c:v>
                </c:pt>
                <c:pt idx="6">
                  <c:v>51009.732344973279</c:v>
                </c:pt>
                <c:pt idx="7">
                  <c:v>48882.778606230255</c:v>
                </c:pt>
                <c:pt idx="8">
                  <c:v>46857.175911774808</c:v>
                </c:pt>
                <c:pt idx="9">
                  <c:v>44927.536782034134</c:v>
                </c:pt>
                <c:pt idx="10">
                  <c:v>43088.788096130345</c:v>
                </c:pt>
                <c:pt idx="11">
                  <c:v>41336.151191587553</c:v>
                </c:pt>
                <c:pt idx="12">
                  <c:v>39665.123318586004</c:v>
                </c:pt>
                <c:pt idx="13">
                  <c:v>38071.460350330613</c:v>
                </c:pt>
                <c:pt idx="14">
                  <c:v>36551.160658693021</c:v>
                </c:pt>
                <c:pt idx="15">
                  <c:v>35100.450071261686</c:v>
                </c:pt>
                <c:pt idx="16">
                  <c:v>33715.767832339807</c:v>
                </c:pt>
                <c:pt idx="17">
                  <c:v>27671.513754275402</c:v>
                </c:pt>
                <c:pt idx="18">
                  <c:v>23727.538873214537</c:v>
                </c:pt>
                <c:pt idx="19">
                  <c:v>22845.896303586815</c:v>
                </c:pt>
                <c:pt idx="20">
                  <c:v>18969.009860967806</c:v>
                </c:pt>
                <c:pt idx="21">
                  <c:v>15835.607040824456</c:v>
                </c:pt>
                <c:pt idx="22">
                  <c:v>13288.530537633198</c:v>
                </c:pt>
                <c:pt idx="23">
                  <c:v>11206.647935421508</c:v>
                </c:pt>
                <c:pt idx="24">
                  <c:v>9496.0000000000018</c:v>
                </c:pt>
              </c:numCache>
            </c:numRef>
          </c:yVal>
          <c:smooth val="0"/>
        </c:ser>
        <c:ser>
          <c:idx val="1"/>
          <c:order val="2"/>
          <c:tx>
            <c:v>K25/60</c:v>
          </c:tx>
          <c:xVal>
            <c:numRef>
              <c:f>NTCVishay!$A$10:$A$34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NTCVishay!$E$10:$E$34</c:f>
              <c:numCache>
                <c:formatCode>0.00E+00</c:formatCode>
                <c:ptCount val="25"/>
                <c:pt idx="0">
                  <c:v>356821.95217219734</c:v>
                </c:pt>
                <c:pt idx="1">
                  <c:v>208816.29689514174</c:v>
                </c:pt>
                <c:pt idx="2">
                  <c:v>161985.89870688811</c:v>
                </c:pt>
                <c:pt idx="3">
                  <c:v>126751.22672340735</c:v>
                </c:pt>
                <c:pt idx="4">
                  <c:v>100000</c:v>
                </c:pt>
                <c:pt idx="5">
                  <c:v>63696.942321042174</c:v>
                </c:pt>
                <c:pt idx="6">
                  <c:v>51388.89432713425</c:v>
                </c:pt>
                <c:pt idx="7">
                  <c:v>49269.211046098848</c:v>
                </c:pt>
                <c:pt idx="8">
                  <c:v>47249.589224504634</c:v>
                </c:pt>
                <c:pt idx="9">
                  <c:v>45324.754439196782</c:v>
                </c:pt>
                <c:pt idx="10">
                  <c:v>43489.737675042939</c:v>
                </c:pt>
                <c:pt idx="11">
                  <c:v>41739.85612823932</c:v>
                </c:pt>
                <c:pt idx="12">
                  <c:v>40070.695307612172</c:v>
                </c:pt>
                <c:pt idx="13">
                  <c:v>38478.092340180337</c:v>
                </c:pt>
                <c:pt idx="14">
                  <c:v>36958.120394431826</c:v>
                </c:pt>
                <c:pt idx="15">
                  <c:v>35507.074141373065</c:v>
                </c:pt>
                <c:pt idx="16">
                  <c:v>34121.456179479545</c:v>
                </c:pt>
                <c:pt idx="17">
                  <c:v>28065.406861990654</c:v>
                </c:pt>
                <c:pt idx="18">
                  <c:v>24106.035686367832</c:v>
                </c:pt>
                <c:pt idx="19">
                  <c:v>23220</c:v>
                </c:pt>
                <c:pt idx="20">
                  <c:v>19319.113292933434</c:v>
                </c:pt>
                <c:pt idx="21">
                  <c:v>16159.944439389565</c:v>
                </c:pt>
                <c:pt idx="22">
                  <c:v>13586.886533576298</c:v>
                </c:pt>
                <c:pt idx="23">
                  <c:v>11479.76072793033</c:v>
                </c:pt>
                <c:pt idx="24">
                  <c:v>9745.1650805176032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345856"/>
        <c:axId val="220347776"/>
      </c:scatterChart>
      <c:valAx>
        <c:axId val="220345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Temperture (deg C)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220347776"/>
        <c:crosses val="autoZero"/>
        <c:crossBetween val="midCat"/>
      </c:valAx>
      <c:valAx>
        <c:axId val="22034777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Resistance (ohms)</a:t>
                </a:r>
              </a:p>
            </c:rich>
          </c:tx>
          <c:overlay val="0"/>
        </c:title>
        <c:numFmt formatCode="0.000E+00" sourceLinked="1"/>
        <c:majorTickMark val="out"/>
        <c:minorTickMark val="none"/>
        <c:tickLblPos val="nextTo"/>
        <c:crossAx val="22034585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NTC Divider Voltage</a:t>
            </a:r>
          </a:p>
        </c:rich>
      </c:tx>
      <c:overlay val="0"/>
    </c:title>
    <c:autoTitleDeleted val="0"/>
    <c:plotArea>
      <c:layout/>
      <c:scatterChart>
        <c:scatterStyle val="smoothMarker"/>
        <c:varyColors val="0"/>
        <c:ser>
          <c:idx val="1"/>
          <c:order val="0"/>
          <c:tx>
            <c:v>NTC</c:v>
          </c:tx>
          <c:xVal>
            <c:numRef>
              <c:f>NTCVishay!$A$10:$A$34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NTCVishay!$K$10:$K$34</c:f>
              <c:numCache>
                <c:formatCode>0.0000</c:formatCode>
                <c:ptCount val="25"/>
                <c:pt idx="0">
                  <c:v>1.5660515516156515</c:v>
                </c:pt>
                <c:pt idx="1">
                  <c:v>1.3948813817291468</c:v>
                </c:pt>
                <c:pt idx="2">
                  <c:v>1.2966601178781925</c:v>
                </c:pt>
                <c:pt idx="3">
                  <c:v>1.1927186636552285</c:v>
                </c:pt>
                <c:pt idx="4">
                  <c:v>1.0855263157894737</c:v>
                </c:pt>
                <c:pt idx="5">
                  <c:v>0.87303317347707188</c:v>
                </c:pt>
                <c:pt idx="6">
                  <c:v>0.77270259264286678</c:v>
                </c:pt>
                <c:pt idx="7">
                  <c:v>0.75014355340881123</c:v>
                </c:pt>
                <c:pt idx="8">
                  <c:v>0.73111155341082856</c:v>
                </c:pt>
                <c:pt idx="9">
                  <c:v>0.71238665899648268</c:v>
                </c:pt>
                <c:pt idx="10">
                  <c:v>0.69700923982648422</c:v>
                </c:pt>
                <c:pt idx="11">
                  <c:v>0.67883090721341188</c:v>
                </c:pt>
                <c:pt idx="12">
                  <c:v>0.66096328207332511</c:v>
                </c:pt>
                <c:pt idx="13">
                  <c:v>0.64341311892936348</c:v>
                </c:pt>
                <c:pt idx="14">
                  <c:v>0.6261862603801327</c:v>
                </c:pt>
                <c:pt idx="15">
                  <c:v>0.60928766267016032</c:v>
                </c:pt>
                <c:pt idx="16">
                  <c:v>0.59274961102164669</c:v>
                </c:pt>
                <c:pt idx="17">
                  <c:v>0.51502145922746778</c:v>
                </c:pt>
                <c:pt idx="18">
                  <c:v>0.45860040160807108</c:v>
                </c:pt>
                <c:pt idx="19">
                  <c:v>0.44565960832484197</c:v>
                </c:pt>
                <c:pt idx="20">
                  <c:v>0.3846787300984762</c:v>
                </c:pt>
                <c:pt idx="21">
                  <c:v>0.33141381401351594</c:v>
                </c:pt>
                <c:pt idx="22">
                  <c:v>0.28524381165304524</c:v>
                </c:pt>
                <c:pt idx="23">
                  <c:v>0.24543865006688995</c:v>
                </c:pt>
                <c:pt idx="24">
                  <c:v>0.21125962967677075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070272"/>
        <c:axId val="220071808"/>
      </c:scatterChart>
      <c:valAx>
        <c:axId val="2200702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071808"/>
        <c:crosses val="autoZero"/>
        <c:crossBetween val="midCat"/>
      </c:valAx>
      <c:valAx>
        <c:axId val="220071808"/>
        <c:scaling>
          <c:orientation val="minMax"/>
        </c:scaling>
        <c:delete val="0"/>
        <c:axPos val="l"/>
        <c:majorGridlines/>
        <c:numFmt formatCode="0.0000" sourceLinked="1"/>
        <c:majorTickMark val="out"/>
        <c:minorTickMark val="none"/>
        <c:tickLblPos val="nextTo"/>
        <c:crossAx val="220070272"/>
        <c:crosses val="autoZero"/>
        <c:crossBetween val="midCat"/>
      </c:valAx>
    </c:plotArea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marker>
            <c:symbol val="none"/>
          </c:marker>
          <c:xVal>
            <c:numRef>
              <c:f>'NTC2'!$A$10:$A$34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'NTC2'!$R$10:$R$34</c:f>
              <c:numCache>
                <c:formatCode>General</c:formatCode>
                <c:ptCount val="25"/>
                <c:pt idx="0">
                  <c:v>6.6505768400203209</c:v>
                </c:pt>
                <c:pt idx="1">
                  <c:v>11.72739007472299</c:v>
                </c:pt>
                <c:pt idx="2">
                  <c:v>15</c:v>
                </c:pt>
                <c:pt idx="3">
                  <c:v>18.799875492648397</c:v>
                </c:pt>
                <c:pt idx="4">
                  <c:v>23.138084622454613</c:v>
                </c:pt>
                <c:pt idx="5">
                  <c:v>33.30015689138078</c:v>
                </c:pt>
                <c:pt idx="6">
                  <c:v>39.002729134510602</c:v>
                </c:pt>
                <c:pt idx="7">
                  <c:v>40.381193492876022</c:v>
                </c:pt>
                <c:pt idx="8">
                  <c:v>41.574034092342245</c:v>
                </c:pt>
                <c:pt idx="9">
                  <c:v>42.775334978012722</c:v>
                </c:pt>
                <c:pt idx="10">
                  <c:v>43.783119480802071</c:v>
                </c:pt>
                <c:pt idx="11">
                  <c:v>45</c:v>
                </c:pt>
                <c:pt idx="12">
                  <c:v>46.223936669863406</c:v>
                </c:pt>
                <c:pt idx="13">
                  <c:v>47.453952286067334</c:v>
                </c:pt>
                <c:pt idx="14">
                  <c:v>48.689060465368158</c:v>
                </c:pt>
                <c:pt idx="15">
                  <c:v>49.928268850920389</c:v>
                </c:pt>
                <c:pt idx="16">
                  <c:v>51.168444954827152</c:v>
                </c:pt>
                <c:pt idx="17">
                  <c:v>57.389174970233753</c:v>
                </c:pt>
                <c:pt idx="18">
                  <c:v>62.354888967213355</c:v>
                </c:pt>
                <c:pt idx="19">
                  <c:v>63.553117753568728</c:v>
                </c:pt>
                <c:pt idx="20">
                  <c:v>69.527797749604588</c:v>
                </c:pt>
                <c:pt idx="21">
                  <c:v>75.235906267827914</c:v>
                </c:pt>
                <c:pt idx="22">
                  <c:v>80.603450324124381</c:v>
                </c:pt>
                <c:pt idx="23">
                  <c:v>85.582428050690481</c:v>
                </c:pt>
                <c:pt idx="24">
                  <c:v>90.145716150980917</c:v>
                </c:pt>
              </c:numCache>
            </c:numRef>
          </c:yVal>
          <c:smooth val="1"/>
        </c:ser>
        <c:ser>
          <c:idx val="1"/>
          <c:order val="1"/>
          <c:marker>
            <c:symbol val="none"/>
          </c:marker>
          <c:xVal>
            <c:numRef>
              <c:f>'NTC2'!$A$10:$A$34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xVal>
          <c:yVal>
            <c:numRef>
              <c:f>'NTC2'!$A$10:$A$34</c:f>
              <c:numCache>
                <c:formatCode>General</c:formatCode>
                <c:ptCount val="25"/>
                <c:pt idx="0">
                  <c:v>0</c:v>
                </c:pt>
                <c:pt idx="1">
                  <c:v>10</c:v>
                </c:pt>
                <c:pt idx="2">
                  <c:v>15</c:v>
                </c:pt>
                <c:pt idx="3">
                  <c:v>20</c:v>
                </c:pt>
                <c:pt idx="4">
                  <c:v>25</c:v>
                </c:pt>
                <c:pt idx="5">
                  <c:v>35</c:v>
                </c:pt>
                <c:pt idx="6">
                  <c:v>40</c:v>
                </c:pt>
                <c:pt idx="7">
                  <c:v>41</c:v>
                </c:pt>
                <c:pt idx="8">
                  <c:v>42</c:v>
                </c:pt>
                <c:pt idx="9">
                  <c:v>43</c:v>
                </c:pt>
                <c:pt idx="10">
                  <c:v>44</c:v>
                </c:pt>
                <c:pt idx="11">
                  <c:v>45</c:v>
                </c:pt>
                <c:pt idx="12">
                  <c:v>46</c:v>
                </c:pt>
                <c:pt idx="13">
                  <c:v>47</c:v>
                </c:pt>
                <c:pt idx="14">
                  <c:v>48</c:v>
                </c:pt>
                <c:pt idx="15">
                  <c:v>49</c:v>
                </c:pt>
                <c:pt idx="16">
                  <c:v>50</c:v>
                </c:pt>
                <c:pt idx="17">
                  <c:v>55</c:v>
                </c:pt>
                <c:pt idx="18">
                  <c:v>59</c:v>
                </c:pt>
                <c:pt idx="19">
                  <c:v>60</c:v>
                </c:pt>
                <c:pt idx="20">
                  <c:v>65</c:v>
                </c:pt>
                <c:pt idx="21">
                  <c:v>70</c:v>
                </c:pt>
                <c:pt idx="22">
                  <c:v>75</c:v>
                </c:pt>
                <c:pt idx="23">
                  <c:v>80</c:v>
                </c:pt>
                <c:pt idx="24">
                  <c:v>85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20138112"/>
        <c:axId val="220139904"/>
      </c:scatterChart>
      <c:valAx>
        <c:axId val="2201381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20139904"/>
        <c:crosses val="autoZero"/>
        <c:crossBetween val="midCat"/>
      </c:valAx>
      <c:valAx>
        <c:axId val="2201399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013811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93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93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7750" cy="6296025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64677" cy="6288548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4677" cy="6288548"/>
    <xdr:graphicFrame macro="">
      <xdr:nvGraphicFramePr>
        <xdr:cNvPr id="2" name="Chart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topLeftCell="A4" workbookViewId="0">
      <selection activeCell="H24" sqref="H24"/>
    </sheetView>
  </sheetViews>
  <sheetFormatPr defaultRowHeight="12.75" x14ac:dyDescent="0.2"/>
  <cols>
    <col min="2" max="3" width="10" bestFit="1" customWidth="1"/>
    <col min="4" max="5" width="8.7109375" customWidth="1"/>
    <col min="7" max="7" width="14.42578125" bestFit="1" customWidth="1"/>
    <col min="9" max="9" width="8.5703125" bestFit="1" customWidth="1"/>
    <col min="10" max="10" width="13.85546875" customWidth="1"/>
    <col min="13" max="13" width="11.5703125" bestFit="1" customWidth="1"/>
    <col min="15" max="15" width="5" customWidth="1"/>
    <col min="16" max="16" width="20" bestFit="1" customWidth="1"/>
  </cols>
  <sheetData>
    <row r="1" spans="1:16" x14ac:dyDescent="0.2">
      <c r="A1" t="s">
        <v>5</v>
      </c>
    </row>
    <row r="2" spans="1:16" x14ac:dyDescent="0.2">
      <c r="A2" t="s">
        <v>2</v>
      </c>
      <c r="B2" s="1">
        <v>330000</v>
      </c>
      <c r="C2" s="1"/>
      <c r="D2" s="1"/>
      <c r="E2" s="1"/>
      <c r="F2" s="1"/>
      <c r="G2" s="1" t="s">
        <v>28</v>
      </c>
      <c r="H2" s="24"/>
      <c r="J2" s="2"/>
      <c r="K2" s="2"/>
      <c r="M2" s="4"/>
      <c r="N2" s="5"/>
    </row>
    <row r="3" spans="1:16" x14ac:dyDescent="0.2">
      <c r="A3" t="s">
        <v>3</v>
      </c>
      <c r="B3" s="1">
        <v>100000</v>
      </c>
      <c r="C3" s="1"/>
      <c r="D3" s="1"/>
      <c r="E3" s="1"/>
      <c r="F3" s="1"/>
      <c r="G3" s="1" t="s">
        <v>29</v>
      </c>
      <c r="H3" s="1"/>
    </row>
    <row r="4" spans="1:16" x14ac:dyDescent="0.2">
      <c r="A4" t="s">
        <v>4</v>
      </c>
      <c r="G4" t="s">
        <v>30</v>
      </c>
    </row>
    <row r="6" spans="1:16" x14ac:dyDescent="0.2">
      <c r="K6" t="s">
        <v>1</v>
      </c>
      <c r="M6" t="s">
        <v>1</v>
      </c>
      <c r="N6" t="s">
        <v>1</v>
      </c>
    </row>
    <row r="7" spans="1:16" x14ac:dyDescent="0.2">
      <c r="A7" s="21" t="s">
        <v>0</v>
      </c>
      <c r="B7" t="s">
        <v>1</v>
      </c>
      <c r="C7" t="s">
        <v>15</v>
      </c>
      <c r="E7" t="s">
        <v>15</v>
      </c>
      <c r="J7" t="s">
        <v>6</v>
      </c>
      <c r="K7" s="3" t="s">
        <v>7</v>
      </c>
      <c r="M7" t="s">
        <v>8</v>
      </c>
      <c r="N7" t="s">
        <v>9</v>
      </c>
    </row>
    <row r="8" spans="1:16" x14ac:dyDescent="0.2">
      <c r="A8" s="21" t="s">
        <v>4</v>
      </c>
      <c r="B8" s="19" t="s">
        <v>23</v>
      </c>
      <c r="C8" t="s">
        <v>11</v>
      </c>
      <c r="D8" t="s">
        <v>14</v>
      </c>
      <c r="E8" t="s">
        <v>13</v>
      </c>
      <c r="F8" t="s">
        <v>14</v>
      </c>
      <c r="G8" t="s">
        <v>10</v>
      </c>
      <c r="H8" t="s">
        <v>14</v>
      </c>
    </row>
    <row r="9" spans="1:16" x14ac:dyDescent="0.2">
      <c r="A9" s="22" t="s">
        <v>24</v>
      </c>
      <c r="B9" s="7">
        <v>1000000000000</v>
      </c>
      <c r="C9" s="1"/>
      <c r="D9" s="1"/>
      <c r="E9" s="1"/>
      <c r="F9" s="1"/>
      <c r="G9" s="1"/>
      <c r="H9" s="1"/>
      <c r="J9" s="16">
        <f>(B$2*B9)/(B$2*B9+B$3*B9+B$2*B$3)</f>
        <v>0.7674418015684199</v>
      </c>
      <c r="K9" s="16">
        <f>2.5*J9</f>
        <v>1.9186045039210498</v>
      </c>
      <c r="L9" s="12"/>
      <c r="M9" s="17">
        <f>J9*2^24</f>
        <v>12875536.872342519</v>
      </c>
      <c r="N9" s="25" t="str">
        <f t="shared" ref="N9:N34" si="0">DEC2HEX(INT(M9))</f>
        <v>C47710</v>
      </c>
      <c r="P9" s="12" t="s">
        <v>27</v>
      </c>
    </row>
    <row r="10" spans="1:16" x14ac:dyDescent="0.2">
      <c r="A10" s="21">
        <v>0</v>
      </c>
      <c r="B10" s="7">
        <v>340900</v>
      </c>
      <c r="C10" s="7">
        <f t="shared" ref="C10:C21" si="1">B$14*EXP(B$36*(1/(273.15+A10)-(1/298.15)))</f>
        <v>361911.00701547321</v>
      </c>
      <c r="D10" s="6">
        <f>(B10-C10)/B10</f>
        <v>-6.1633930816876528E-2</v>
      </c>
      <c r="E10" s="1">
        <f t="shared" ref="E10:E21" si="2">B$14*EXP(B$38*(1/(273.15+A10)-(1/298.15)))</f>
        <v>356821.95217219734</v>
      </c>
      <c r="F10" s="6">
        <f>(B10-E10)/B10</f>
        <v>-4.6705638522139464E-2</v>
      </c>
      <c r="G10" s="7">
        <f t="shared" ref="G10:G21" si="3">B$14*EXP(B$37*(1/(273.15+A10)-(1/298.15)))</f>
        <v>361906.94634238578</v>
      </c>
      <c r="H10" s="6">
        <f>(B10-G10)/B10</f>
        <v>-6.1622019191510065E-2</v>
      </c>
      <c r="J10" s="2">
        <f>(B$2*B10)/(B$2*B10+B$3*B10+B$2*B$3)</f>
        <v>0.62642062064626058</v>
      </c>
      <c r="K10" s="2">
        <f>2.5*J10</f>
        <v>1.5660515516156515</v>
      </c>
      <c r="M10" s="4">
        <f>J10*2^24</f>
        <v>10509594.059436373</v>
      </c>
      <c r="N10" s="5" t="str">
        <f t="shared" si="0"/>
        <v>A05D1A</v>
      </c>
    </row>
    <row r="11" spans="1:16" x14ac:dyDescent="0.2">
      <c r="A11" s="21">
        <v>10</v>
      </c>
      <c r="B11" s="7">
        <v>204400</v>
      </c>
      <c r="C11" s="7">
        <f t="shared" si="1"/>
        <v>210534.94999036301</v>
      </c>
      <c r="D11" s="6">
        <f>(B11-C11)/B11</f>
        <v>-3.0014432438175174E-2</v>
      </c>
      <c r="E11" s="1">
        <f t="shared" si="2"/>
        <v>208816.29689514174</v>
      </c>
      <c r="F11" s="6">
        <f t="shared" ref="F11" si="4">(B11-E11)/B11</f>
        <v>-2.1606149193452752E-2</v>
      </c>
      <c r="G11" s="7">
        <f t="shared" si="3"/>
        <v>210533.58271070564</v>
      </c>
      <c r="H11" s="6">
        <f t="shared" ref="H11" si="5">(B11-G11)/B11</f>
        <v>-3.0007743203060856E-2</v>
      </c>
      <c r="J11" s="2">
        <f t="shared" ref="J11" si="6">(B$2*B11)/(B$2*B11+B$3*B11+B$2*B$3)</f>
        <v>0.55795255269165867</v>
      </c>
      <c r="K11" s="2">
        <f t="shared" ref="K11" si="7">2.5*J11</f>
        <v>1.3948813817291468</v>
      </c>
      <c r="M11" s="4">
        <f t="shared" ref="M11" si="8">J11*2^24</f>
        <v>9360890.4942593388</v>
      </c>
      <c r="N11" s="5" t="str">
        <f t="shared" si="0"/>
        <v>8ED5FA</v>
      </c>
    </row>
    <row r="12" spans="1:16" x14ac:dyDescent="0.2">
      <c r="A12" s="21">
        <v>15</v>
      </c>
      <c r="B12" s="7">
        <v>160000</v>
      </c>
      <c r="C12" s="7">
        <f t="shared" si="1"/>
        <v>162858.05263555967</v>
      </c>
      <c r="D12" s="6">
        <f t="shared" ref="D12:D13" si="9">(B12-C12)/B12</f>
        <v>-1.7862828972247918E-2</v>
      </c>
      <c r="E12" s="1">
        <f t="shared" si="2"/>
        <v>161985.89870688811</v>
      </c>
      <c r="F12" s="6">
        <f t="shared" ref="F12:F13" si="10">(B12-E12)/B12</f>
        <v>-1.2411866918050692E-2</v>
      </c>
      <c r="G12" s="7">
        <f t="shared" si="3"/>
        <v>162857.35976906939</v>
      </c>
      <c r="H12" s="6">
        <f t="shared" ref="H12:H13" si="11">(B12-G12)/B12</f>
        <v>-1.7858498556683661E-2</v>
      </c>
      <c r="J12" s="2">
        <f t="shared" ref="J12:J13" si="12">(B$2*B12)/(B$2*B12+B$3*B12+B$2*B$3)</f>
        <v>0.51866404715127701</v>
      </c>
      <c r="K12" s="2">
        <f t="shared" ref="K12:K13" si="13">2.5*J12</f>
        <v>1.2966601178781925</v>
      </c>
      <c r="M12" s="4">
        <f t="shared" ref="M12:M13" si="14">J12*2^24</f>
        <v>8701738.750491159</v>
      </c>
      <c r="N12" s="5" t="str">
        <f t="shared" si="0"/>
        <v>84C72A</v>
      </c>
    </row>
    <row r="13" spans="1:16" x14ac:dyDescent="0.2">
      <c r="A13" s="21">
        <v>20</v>
      </c>
      <c r="B13" s="7">
        <v>126100</v>
      </c>
      <c r="C13" s="7">
        <f t="shared" si="1"/>
        <v>127086.17171342798</v>
      </c>
      <c r="D13" s="6">
        <f t="shared" si="9"/>
        <v>-7.8205528424105889E-3</v>
      </c>
      <c r="E13" s="1">
        <f t="shared" si="2"/>
        <v>126751.22672340735</v>
      </c>
      <c r="F13" s="6">
        <f t="shared" si="10"/>
        <v>-5.1643673545388701E-3</v>
      </c>
      <c r="G13" s="7">
        <f t="shared" si="3"/>
        <v>127085.90598512306</v>
      </c>
      <c r="H13" s="6">
        <f t="shared" si="11"/>
        <v>-7.818445560055955E-3</v>
      </c>
      <c r="J13" s="2">
        <f t="shared" si="12"/>
        <v>0.47708746546209141</v>
      </c>
      <c r="K13" s="2">
        <f t="shared" si="13"/>
        <v>1.1927186636552285</v>
      </c>
      <c r="M13" s="4">
        <f t="shared" si="14"/>
        <v>8004199.4589500474</v>
      </c>
      <c r="N13" s="5" t="str">
        <f t="shared" si="0"/>
        <v>7A2267</v>
      </c>
    </row>
    <row r="14" spans="1:16" x14ac:dyDescent="0.2">
      <c r="A14" s="21">
        <v>25</v>
      </c>
      <c r="B14" s="7">
        <v>100000</v>
      </c>
      <c r="C14" s="7">
        <f t="shared" si="1"/>
        <v>100000</v>
      </c>
      <c r="D14" s="6">
        <f>(B14-C14)/B14</f>
        <v>0</v>
      </c>
      <c r="E14" s="1">
        <f t="shared" si="2"/>
        <v>100000</v>
      </c>
      <c r="F14" s="6">
        <f t="shared" ref="F14:F34" si="15">(B14-E14)/B14</f>
        <v>0</v>
      </c>
      <c r="G14" s="7">
        <f t="shared" si="3"/>
        <v>100000</v>
      </c>
      <c r="H14" s="6">
        <f t="shared" ref="H14:H34" si="16">(B14-G14)/B14</f>
        <v>0</v>
      </c>
      <c r="J14" s="2">
        <f t="shared" ref="J14:J34" si="17">(B$2*B14)/(B$2*B14+B$3*B14+B$2*B$3)</f>
        <v>0.43421052631578949</v>
      </c>
      <c r="K14" s="2">
        <f t="shared" ref="K14:K34" si="18">2.5*J14</f>
        <v>1.0855263157894737</v>
      </c>
      <c r="M14" s="4">
        <f t="shared" ref="M14:M34" si="19">J14*2^24</f>
        <v>7284843.7894736845</v>
      </c>
      <c r="N14" s="5" t="str">
        <f t="shared" si="0"/>
        <v>6F286B</v>
      </c>
    </row>
    <row r="15" spans="1:16" x14ac:dyDescent="0.2">
      <c r="A15" s="21">
        <v>35</v>
      </c>
      <c r="B15" s="7">
        <v>64080</v>
      </c>
      <c r="C15" s="7">
        <f t="shared" si="1"/>
        <v>63377.910095265957</v>
      </c>
      <c r="D15" s="6">
        <f t="shared" ref="D15:D34" si="20">(B15-C15)/B15</f>
        <v>1.095645918748506E-2</v>
      </c>
      <c r="E15" s="1">
        <f t="shared" si="2"/>
        <v>63696.942321042174</v>
      </c>
      <c r="F15" s="6">
        <f t="shared" si="15"/>
        <v>5.9778039787426072E-3</v>
      </c>
      <c r="G15" s="7">
        <f t="shared" si="3"/>
        <v>63378.162232203671</v>
      </c>
      <c r="H15" s="6">
        <f t="shared" si="16"/>
        <v>1.0952524466234848E-2</v>
      </c>
      <c r="J15" s="2">
        <f t="shared" ref="J15:J20" si="21">(B$2*B15)/(B$2*B15+B$3*B15+B$2*B$3)</f>
        <v>0.34921326939082875</v>
      </c>
      <c r="K15" s="2">
        <f t="shared" si="18"/>
        <v>0.87303317347707188</v>
      </c>
      <c r="M15" s="4">
        <f t="shared" si="19"/>
        <v>5858826.4506361224</v>
      </c>
      <c r="N15" s="5" t="str">
        <f t="shared" si="0"/>
        <v>59660A</v>
      </c>
    </row>
    <row r="16" spans="1:16" x14ac:dyDescent="0.2">
      <c r="A16" s="21">
        <v>40</v>
      </c>
      <c r="B16" s="7">
        <v>51750</v>
      </c>
      <c r="C16" s="7">
        <f t="shared" si="1"/>
        <v>51009.432807969977</v>
      </c>
      <c r="D16" s="6">
        <f>(B16-C16)/B16</f>
        <v>1.4310477140676771E-2</v>
      </c>
      <c r="E16" s="1">
        <f t="shared" si="2"/>
        <v>51388.89432713425</v>
      </c>
      <c r="F16" s="6">
        <f>(B16-E16)/B16</f>
        <v>6.9778873983719712E-3</v>
      </c>
      <c r="G16" s="7">
        <f t="shared" si="3"/>
        <v>51009.732344973279</v>
      </c>
      <c r="H16" s="6">
        <f>(B16-G16)/B16</f>
        <v>1.4304688986023587E-2</v>
      </c>
      <c r="J16" s="2">
        <f t="shared" si="21"/>
        <v>0.30908103705714673</v>
      </c>
      <c r="K16" s="2">
        <f t="shared" si="18"/>
        <v>0.77270259264286678</v>
      </c>
      <c r="M16" s="4">
        <f>J16*2^24</f>
        <v>5185519.3202117551</v>
      </c>
      <c r="N16" s="5" t="str">
        <f t="shared" si="0"/>
        <v>4F1FEF</v>
      </c>
    </row>
    <row r="17" spans="1:16" x14ac:dyDescent="0.2">
      <c r="A17" s="21">
        <v>41</v>
      </c>
      <c r="B17" s="7">
        <f>E17</f>
        <v>49269.211046098848</v>
      </c>
      <c r="C17" s="7">
        <f t="shared" si="1"/>
        <v>48882.473397244983</v>
      </c>
      <c r="D17" s="6">
        <f>(B17-C17)/B17</f>
        <v>7.8494792314009829E-3</v>
      </c>
      <c r="E17" s="1">
        <f t="shared" si="2"/>
        <v>49269.211046098848</v>
      </c>
      <c r="F17" s="6">
        <f>(B17-E17)/B17</f>
        <v>0</v>
      </c>
      <c r="G17" s="7">
        <f t="shared" si="3"/>
        <v>48882.778606230255</v>
      </c>
      <c r="H17" s="6">
        <f>(B17-G17)/B17</f>
        <v>7.843284511031173E-3</v>
      </c>
      <c r="J17" s="2">
        <f t="shared" si="21"/>
        <v>0.30005742136352448</v>
      </c>
      <c r="K17" s="2">
        <f t="shared" si="18"/>
        <v>0.75014355340881123</v>
      </c>
      <c r="M17" s="4">
        <f>J17*2^24</f>
        <v>5034128.1706188647</v>
      </c>
      <c r="N17" s="5" t="str">
        <f t="shared" si="0"/>
        <v>4CD090</v>
      </c>
    </row>
    <row r="18" spans="1:16" x14ac:dyDescent="0.2">
      <c r="A18" s="21">
        <v>42</v>
      </c>
      <c r="B18" s="7">
        <f>E18</f>
        <v>47249.589224504634</v>
      </c>
      <c r="C18" s="7">
        <f t="shared" si="1"/>
        <v>46856.866051321427</v>
      </c>
      <c r="D18" s="6">
        <f>(B18-C18)/B18</f>
        <v>8.3116738077276785E-3</v>
      </c>
      <c r="E18" s="1">
        <f t="shared" si="2"/>
        <v>47249.589224504634</v>
      </c>
      <c r="F18" s="6">
        <f>(B18-E18)/B18</f>
        <v>0</v>
      </c>
      <c r="G18" s="7">
        <f t="shared" si="3"/>
        <v>46857.175911774808</v>
      </c>
      <c r="H18" s="6">
        <f>(B18-G18)/B18</f>
        <v>8.3051158575218383E-3</v>
      </c>
      <c r="J18" s="2">
        <f t="shared" si="21"/>
        <v>0.29244462136433141</v>
      </c>
      <c r="K18" s="2">
        <f t="shared" si="18"/>
        <v>0.73111155341082856</v>
      </c>
      <c r="M18" s="4">
        <f>J18*2^24</f>
        <v>4906406.5806676028</v>
      </c>
      <c r="N18" s="5" t="str">
        <f t="shared" si="0"/>
        <v>4ADDA6</v>
      </c>
    </row>
    <row r="19" spans="1:16" x14ac:dyDescent="0.2">
      <c r="A19" s="21">
        <v>43</v>
      </c>
      <c r="B19" s="7">
        <f>E19</f>
        <v>45324.754439196782</v>
      </c>
      <c r="C19" s="7">
        <f t="shared" si="1"/>
        <v>44927.223200644949</v>
      </c>
      <c r="D19" s="6">
        <f>(B19-C19)/B19</f>
        <v>8.7707312145534587E-3</v>
      </c>
      <c r="E19" s="1">
        <f t="shared" si="2"/>
        <v>45324.754439196782</v>
      </c>
      <c r="F19" s="6">
        <f>(B19-E19)/B19</f>
        <v>0</v>
      </c>
      <c r="G19" s="7">
        <f t="shared" si="3"/>
        <v>44927.536782034134</v>
      </c>
      <c r="H19" s="6">
        <f>(B19-G19)/B19</f>
        <v>8.7638126687595366E-3</v>
      </c>
      <c r="J19" s="2">
        <f t="shared" si="21"/>
        <v>0.28495466359859306</v>
      </c>
      <c r="K19" s="2">
        <f t="shared" si="18"/>
        <v>0.71238665899648268</v>
      </c>
      <c r="M19" s="4">
        <f>J19*2^24</f>
        <v>4780745.9414009331</v>
      </c>
      <c r="N19" s="5" t="str">
        <f t="shared" si="0"/>
        <v>48F2C9</v>
      </c>
    </row>
    <row r="20" spans="1:16" x14ac:dyDescent="0.2">
      <c r="A20" s="21">
        <v>44</v>
      </c>
      <c r="B20" s="26">
        <v>43788.153001382801</v>
      </c>
      <c r="C20" s="7">
        <f t="shared" si="1"/>
        <v>43088.471641512246</v>
      </c>
      <c r="D20" s="6">
        <f>(B20-C20)/B20</f>
        <v>1.5978782202767498E-2</v>
      </c>
      <c r="E20" s="1">
        <f t="shared" si="2"/>
        <v>43489.737675042939</v>
      </c>
      <c r="F20" s="6">
        <f>(B20-E20)/B20</f>
        <v>6.8149786160297352E-3</v>
      </c>
      <c r="G20" s="7">
        <f t="shared" si="3"/>
        <v>43088.788096130345</v>
      </c>
      <c r="H20" s="6">
        <f>(B20-G20)/B20</f>
        <v>1.5971555256746511E-2</v>
      </c>
      <c r="J20" s="2">
        <f t="shared" si="21"/>
        <v>0.27880369593059368</v>
      </c>
      <c r="K20" s="2">
        <f t="shared" si="18"/>
        <v>0.69700923982648422</v>
      </c>
      <c r="M20" s="4">
        <f>J20*2^24</f>
        <v>4677549.8282258911</v>
      </c>
      <c r="N20" s="8" t="str">
        <f t="shared" si="0"/>
        <v>475FAD</v>
      </c>
    </row>
    <row r="21" spans="1:16" s="12" customFormat="1" x14ac:dyDescent="0.2">
      <c r="A21" s="23">
        <v>45</v>
      </c>
      <c r="B21" s="27">
        <v>42020.832987922593</v>
      </c>
      <c r="C21" s="15">
        <f t="shared" si="1"/>
        <v>41335.832635213308</v>
      </c>
      <c r="D21" s="14">
        <f t="shared" si="20"/>
        <v>1.6301446306553804E-2</v>
      </c>
      <c r="E21" s="13">
        <f t="shared" si="2"/>
        <v>41739.85612823932</v>
      </c>
      <c r="F21" s="14">
        <f t="shared" si="15"/>
        <v>6.6866085154482701E-3</v>
      </c>
      <c r="G21" s="15">
        <f t="shared" si="3"/>
        <v>41336.151191587553</v>
      </c>
      <c r="H21" s="14">
        <f t="shared" si="16"/>
        <v>1.6293865391288843E-2</v>
      </c>
      <c r="J21" s="16">
        <f>(B$2*B21)/(B$2*B21+B$3*B21+B$2*B$3)</f>
        <v>0.27153236288536475</v>
      </c>
      <c r="K21" s="16">
        <f t="shared" si="18"/>
        <v>0.67883090721341188</v>
      </c>
      <c r="M21" s="17">
        <f t="shared" si="19"/>
        <v>4555557.1031181477</v>
      </c>
      <c r="N21" s="18" t="str">
        <f t="shared" si="0"/>
        <v>458325</v>
      </c>
      <c r="P21" s="12" t="s">
        <v>25</v>
      </c>
    </row>
    <row r="22" spans="1:16" x14ac:dyDescent="0.2">
      <c r="A22" s="21">
        <v>46</v>
      </c>
      <c r="B22" s="26">
        <v>40333.508690218456</v>
      </c>
      <c r="C22" s="7">
        <f t="shared" ref="C22" si="22">B$14*EXP(B$36*(1/(273.15+A22)-(1/298.15)))</f>
        <v>39664.803361766433</v>
      </c>
      <c r="D22" s="6">
        <f t="shared" si="20"/>
        <v>1.6579398871246594E-2</v>
      </c>
      <c r="E22" s="1">
        <f t="shared" ref="E22" si="23">B$14*EXP(B$38*(1/(273.15+A22)-(1/298.15)))</f>
        <v>40070.695307612172</v>
      </c>
      <c r="F22" s="6">
        <f t="shared" si="15"/>
        <v>6.5160059499118307E-3</v>
      </c>
      <c r="G22" s="7">
        <f t="shared" ref="G22" si="24">B$14*EXP(B$37*(1/(273.15+A22)-(1/298.15)))</f>
        <v>39665.123318586004</v>
      </c>
      <c r="H22" s="6">
        <f t="shared" si="16"/>
        <v>1.6571466092027511E-2</v>
      </c>
      <c r="J22" s="2">
        <f t="shared" si="17"/>
        <v>0.26438531282933003</v>
      </c>
      <c r="K22" s="2">
        <f t="shared" si="18"/>
        <v>0.66096328207332511</v>
      </c>
      <c r="M22" s="4">
        <f t="shared" si="19"/>
        <v>4435649.5005652411</v>
      </c>
      <c r="N22" s="20" t="str">
        <f t="shared" si="0"/>
        <v>43AEC1</v>
      </c>
    </row>
    <row r="23" spans="1:16" x14ac:dyDescent="0.2">
      <c r="A23" s="21">
        <v>47</v>
      </c>
      <c r="B23" s="26">
        <v>38722.195729607905</v>
      </c>
      <c r="C23" s="7">
        <f t="shared" ref="C23:C24" si="25">B$14*EXP(B$36*(1/(273.15+A23)-(1/298.15)))</f>
        <v>38071.139629809259</v>
      </c>
      <c r="D23" s="6">
        <f t="shared" ref="D23:D24" si="26">(B23-C23)/B23</f>
        <v>1.681351192853028E-2</v>
      </c>
      <c r="E23" s="1">
        <f t="shared" ref="E23:E24" si="27">B$14*EXP(B$38*(1/(273.15+A23)-(1/298.15)))</f>
        <v>38478.092340180337</v>
      </c>
      <c r="F23" s="6">
        <f t="shared" ref="F23:F24" si="28">(B23-E23)/B23</f>
        <v>6.30396558945444E-3</v>
      </c>
      <c r="G23" s="7">
        <f t="shared" ref="G23:G24" si="29">B$14*EXP(B$37*(1/(273.15+A23)-(1/298.15)))</f>
        <v>38071.460350330613</v>
      </c>
      <c r="H23" s="6">
        <f t="shared" ref="H23:H24" si="30">(B23-G23)/B23</f>
        <v>1.6805229326903183E-2</v>
      </c>
      <c r="J23" s="2">
        <f t="shared" ref="J23:J24" si="31">(B$2*B23)/(B$2*B23+B$3*B23+B$2*B$3)</f>
        <v>0.25736524757174539</v>
      </c>
      <c r="K23" s="2">
        <f t="shared" ref="K23:K24" si="32">2.5*J23</f>
        <v>0.64341311892936348</v>
      </c>
      <c r="M23" s="4">
        <f t="shared" ref="M23:M24" si="33">J23*2^24</f>
        <v>4317872.3494046479</v>
      </c>
      <c r="N23" s="20" t="str">
        <f t="shared" ref="N23:N24" si="34">DEC2HEX(INT(M23))</f>
        <v>41E2B0</v>
      </c>
    </row>
    <row r="24" spans="1:16" x14ac:dyDescent="0.2">
      <c r="A24" s="21">
        <v>48</v>
      </c>
      <c r="B24" s="26">
        <v>37183.125224085219</v>
      </c>
      <c r="C24" s="7">
        <f t="shared" si="25"/>
        <v>36550.83975180173</v>
      </c>
      <c r="D24" s="6">
        <f t="shared" si="26"/>
        <v>1.7004634991625953E-2</v>
      </c>
      <c r="E24" s="1">
        <f t="shared" si="27"/>
        <v>36958.120394431826</v>
      </c>
      <c r="F24" s="6">
        <f t="shared" si="28"/>
        <v>6.0512619178026295E-3</v>
      </c>
      <c r="G24" s="7">
        <f t="shared" si="29"/>
        <v>36551.160658693021</v>
      </c>
      <c r="H24" s="6">
        <f t="shared" si="30"/>
        <v>1.6996004547322061E-2</v>
      </c>
      <c r="J24" s="2">
        <f t="shared" si="31"/>
        <v>0.25047450415205308</v>
      </c>
      <c r="K24" s="2">
        <f t="shared" si="32"/>
        <v>0.6261862603801327</v>
      </c>
      <c r="M24" s="4">
        <f t="shared" si="33"/>
        <v>4202264.8586518914</v>
      </c>
      <c r="N24" s="20" t="str">
        <f t="shared" si="34"/>
        <v>401F18</v>
      </c>
    </row>
    <row r="25" spans="1:16" x14ac:dyDescent="0.2">
      <c r="A25" s="21">
        <v>49</v>
      </c>
      <c r="B25" s="26">
        <v>35712.731256649546</v>
      </c>
      <c r="C25" s="7">
        <f t="shared" ref="C25" si="35">B$14*EXP(B$36*(1/(273.15+A25)-(1/298.15)))</f>
        <v>35100.129500672068</v>
      </c>
      <c r="D25" s="6">
        <f t="shared" ref="D25" si="36">(B25-C25)/B25</f>
        <v>1.7153595774431665E-2</v>
      </c>
      <c r="E25" s="1">
        <f t="shared" ref="E25" si="37">B$14*EXP(B$38*(1/(273.15+A25)-(1/298.15)))</f>
        <v>35507.074141373065</v>
      </c>
      <c r="F25" s="6">
        <f t="shared" ref="F25" si="38">(B25-E25)/B25</f>
        <v>5.758649871904953E-3</v>
      </c>
      <c r="G25" s="7">
        <f t="shared" ref="G25" si="39">B$14*EXP(B$37*(1/(273.15+A25)-(1/298.15)))</f>
        <v>35100.450071261686</v>
      </c>
      <c r="H25" s="6">
        <f t="shared" ref="H25" si="40">(B25-G25)/B25</f>
        <v>1.7144619407227651E-2</v>
      </c>
      <c r="J25" s="2">
        <f t="shared" ref="J25" si="41">(B$2*B25)/(B$2*B25+B$3*B25+B$2*B$3)</f>
        <v>0.24371506506806415</v>
      </c>
      <c r="K25" s="2">
        <f t="shared" ref="K25" si="42">2.5*J25</f>
        <v>0.60928766267016032</v>
      </c>
      <c r="M25" s="4">
        <f t="shared" ref="M25" si="43">J25*2^24</f>
        <v>4088860.2891009669</v>
      </c>
      <c r="N25" s="20" t="str">
        <f t="shared" ref="N25" si="44">DEC2HEX(INT(M25))</f>
        <v>3E641C</v>
      </c>
    </row>
    <row r="26" spans="1:16" x14ac:dyDescent="0.2">
      <c r="A26" s="21">
        <v>50</v>
      </c>
      <c r="B26" s="7">
        <v>34310</v>
      </c>
      <c r="C26" s="7">
        <f>B$14*EXP(B$36*(1/(273.15+A26)-(1/298.15)))</f>
        <v>33715.448070442922</v>
      </c>
      <c r="D26" s="6">
        <f t="shared" si="20"/>
        <v>1.7328823362199871E-2</v>
      </c>
      <c r="E26" s="1">
        <f>B$14*EXP(B$38*(1/(273.15+A26)-(1/298.15)))</f>
        <v>34121.456179479545</v>
      </c>
      <c r="F26" s="6">
        <f t="shared" si="15"/>
        <v>5.4953022594128676E-3</v>
      </c>
      <c r="G26" s="7">
        <f>B$14*EXP(B$37*(1/(273.15+A26)-(1/298.15)))</f>
        <v>33715.767832339807</v>
      </c>
      <c r="H26" s="6">
        <f t="shared" si="16"/>
        <v>1.7319503575056638E-2</v>
      </c>
      <c r="J26" s="2">
        <f t="shared" si="17"/>
        <v>0.23709984440865867</v>
      </c>
      <c r="K26" s="2">
        <f t="shared" si="18"/>
        <v>0.59274961102164669</v>
      </c>
      <c r="M26" s="4">
        <f t="shared" si="19"/>
        <v>3977875.3032104587</v>
      </c>
      <c r="N26" s="5" t="str">
        <f t="shared" si="0"/>
        <v>3CB293</v>
      </c>
    </row>
    <row r="27" spans="1:16" x14ac:dyDescent="0.2">
      <c r="A27" s="21">
        <v>55</v>
      </c>
      <c r="B27" s="7">
        <v>28160</v>
      </c>
      <c r="C27" s="7">
        <f>B$14*EXP(B$36*(1/(273.15+A27)-(1/298.15)))</f>
        <v>27671.203627546747</v>
      </c>
      <c r="D27" s="6">
        <f t="shared" si="20"/>
        <v>1.7357825726322898E-2</v>
      </c>
      <c r="E27" s="1">
        <f>B$14*EXP(B$38*(1/(273.15+A27)-(1/298.15)))</f>
        <v>28065.406861990654</v>
      </c>
      <c r="F27" s="6">
        <f t="shared" si="15"/>
        <v>3.3591313213546217E-3</v>
      </c>
      <c r="G27" s="7">
        <f>B$14*EXP(B$37*(1/(273.15+A27)-(1/298.15)))</f>
        <v>27671.513754275402</v>
      </c>
      <c r="H27" s="6">
        <f t="shared" si="16"/>
        <v>1.7346812703288285E-2</v>
      </c>
      <c r="J27" s="2">
        <f t="shared" si="17"/>
        <v>0.20600858369098712</v>
      </c>
      <c r="K27" s="2">
        <f t="shared" si="18"/>
        <v>0.51502145922746778</v>
      </c>
      <c r="M27" s="4">
        <f t="shared" si="19"/>
        <v>3456250.5064377682</v>
      </c>
      <c r="N27" s="5" t="str">
        <f t="shared" si="0"/>
        <v>34BCFA</v>
      </c>
    </row>
    <row r="28" spans="1:16" x14ac:dyDescent="0.2">
      <c r="A28" s="21">
        <v>59</v>
      </c>
      <c r="B28" s="7">
        <f>E28</f>
        <v>24106.035686367832</v>
      </c>
      <c r="C28" s="7">
        <f>B$14*EXP(B$36*(1/(273.15+A28)-(1/298.15)))</f>
        <v>23727.241121345098</v>
      </c>
      <c r="D28" s="6">
        <f>(B28-C28)/B28</f>
        <v>1.5713681417842813E-2</v>
      </c>
      <c r="E28" s="1">
        <f>B$14*EXP(B$38*(1/(273.15+A28)-(1/298.15)))</f>
        <v>24106.035686367832</v>
      </c>
      <c r="F28" s="6">
        <f>(B28-E28)/B28</f>
        <v>0</v>
      </c>
      <c r="G28" s="7">
        <f>B$14*EXP(B$37*(1/(273.15+A28)-(1/298.15)))</f>
        <v>23727.538873214537</v>
      </c>
      <c r="H28" s="6">
        <f>(B28-G28)/B28</f>
        <v>1.5701329661904476E-2</v>
      </c>
      <c r="J28" s="2">
        <f>(B$2*B28)/(B$2*B28+B$3*B28+B$2*B$3)</f>
        <v>0.18344016064322843</v>
      </c>
      <c r="K28" s="2">
        <f t="shared" si="18"/>
        <v>0.45860040160807108</v>
      </c>
      <c r="M28" s="4">
        <f>J28*2^24</f>
        <v>3077615.1981861424</v>
      </c>
      <c r="N28" s="8" t="str">
        <f t="shared" si="0"/>
        <v>2EF5EF</v>
      </c>
    </row>
    <row r="29" spans="1:16" s="12" customFormat="1" x14ac:dyDescent="0.2">
      <c r="A29" s="23">
        <v>60</v>
      </c>
      <c r="B29" s="15">
        <v>23220</v>
      </c>
      <c r="C29" s="15">
        <f>B$14*EXP(B$36*(1/(273.15+A29)-(1/298.15)))</f>
        <v>22845.602069150907</v>
      </c>
      <c r="D29" s="14">
        <f t="shared" si="20"/>
        <v>1.6123941897032409E-2</v>
      </c>
      <c r="E29" s="13">
        <f>B$14*EXP(B$38*(1/(273.15+A29)-(1/298.15)))</f>
        <v>23220</v>
      </c>
      <c r="F29" s="14">
        <f t="shared" si="15"/>
        <v>0</v>
      </c>
      <c r="G29" s="15">
        <f>B$14*EXP(B$37*(1/(273.15+A29)-(1/298.15)))</f>
        <v>22845.896303586815</v>
      </c>
      <c r="H29" s="14">
        <f t="shared" si="16"/>
        <v>1.6111270302032101E-2</v>
      </c>
      <c r="J29" s="16">
        <f t="shared" si="17"/>
        <v>0.17826384332993678</v>
      </c>
      <c r="K29" s="16">
        <f t="shared" si="18"/>
        <v>0.44565960832484197</v>
      </c>
      <c r="M29" s="17">
        <f t="shared" si="19"/>
        <v>2990771.0045365086</v>
      </c>
      <c r="N29" s="18" t="str">
        <f t="shared" si="0"/>
        <v>2DA2B3</v>
      </c>
      <c r="P29" s="12" t="s">
        <v>26</v>
      </c>
    </row>
    <row r="30" spans="1:16" s="19" customFormat="1" x14ac:dyDescent="0.2">
      <c r="A30" s="22">
        <v>65</v>
      </c>
      <c r="B30" s="28">
        <v>19245.946382032289</v>
      </c>
      <c r="C30" s="28">
        <f t="shared" ref="C30:C32" si="45">B$14*EXP(B$36*(1/(273.15+A30)-(1/298.15)))</f>
        <v>18968.734785423549</v>
      </c>
      <c r="D30" s="29">
        <f t="shared" ref="D30:D32" si="46">(B30-C30)/B30</f>
        <v>1.4403635503606137E-2</v>
      </c>
      <c r="E30" s="24">
        <f t="shared" ref="E30:E32" si="47">B$14*EXP(B$38*(1/(273.15+A30)-(1/298.15)))</f>
        <v>19319.113292933434</v>
      </c>
      <c r="F30" s="29">
        <f t="shared" ref="F30:F32" si="48">(B30-E30)/B30</f>
        <v>-3.8016790366543329E-3</v>
      </c>
      <c r="G30" s="28">
        <f t="shared" ref="G30:G32" si="49">B$14*EXP(B$37*(1/(273.15+A30)-(1/298.15)))</f>
        <v>18969.009860967806</v>
      </c>
      <c r="H30" s="29">
        <f t="shared" ref="H30:H32" si="50">(B30-G30)/B30</f>
        <v>1.4389342855232433E-2</v>
      </c>
      <c r="J30" s="30">
        <f t="shared" ref="J30:J32" si="51">(B$2*B30)/(B$2*B30+B$3*B30+B$2*B$3)</f>
        <v>0.15387149203939049</v>
      </c>
      <c r="K30" s="30">
        <f t="shared" ref="K30:K32" si="52">2.5*J30</f>
        <v>0.3846787300984762</v>
      </c>
      <c r="M30" s="31">
        <f t="shared" ref="M30:M32" si="53">J30*2^24</f>
        <v>2581535.2581871348</v>
      </c>
      <c r="N30" s="20" t="str">
        <f t="shared" ref="N30:N32" si="54">DEC2HEX(INT(M30))</f>
        <v>27641F</v>
      </c>
    </row>
    <row r="31" spans="1:16" s="19" customFormat="1" x14ac:dyDescent="0.2">
      <c r="A31" s="22">
        <v>70</v>
      </c>
      <c r="B31" s="28">
        <v>16024.590619940183</v>
      </c>
      <c r="C31" s="28">
        <f t="shared" si="45"/>
        <v>15835.352463566838</v>
      </c>
      <c r="D31" s="29">
        <f t="shared" si="46"/>
        <v>1.1809234997733226E-2</v>
      </c>
      <c r="E31" s="24">
        <f t="shared" si="47"/>
        <v>16159.944439389565</v>
      </c>
      <c r="F31" s="29">
        <f t="shared" si="48"/>
        <v>-8.4466319708007935E-3</v>
      </c>
      <c r="G31" s="28">
        <f t="shared" si="49"/>
        <v>15835.607040824456</v>
      </c>
      <c r="H31" s="29">
        <f t="shared" si="50"/>
        <v>1.1793348335561593E-2</v>
      </c>
      <c r="J31" s="30">
        <f t="shared" si="51"/>
        <v>0.13256552560540638</v>
      </c>
      <c r="K31" s="30">
        <f t="shared" si="52"/>
        <v>0.33141381401351594</v>
      </c>
      <c r="M31" s="31">
        <f t="shared" si="53"/>
        <v>2224080.4572354336</v>
      </c>
      <c r="N31" s="20" t="str">
        <f t="shared" si="54"/>
        <v>21EFD0</v>
      </c>
    </row>
    <row r="32" spans="1:16" s="19" customFormat="1" x14ac:dyDescent="0.2">
      <c r="A32" s="22">
        <v>75</v>
      </c>
      <c r="B32" s="28">
        <v>13402.307451357761</v>
      </c>
      <c r="C32" s="28">
        <f t="shared" si="45"/>
        <v>13288.296580329023</v>
      </c>
      <c r="D32" s="29">
        <f t="shared" si="46"/>
        <v>8.5068091030241523E-3</v>
      </c>
      <c r="E32" s="24">
        <f t="shared" si="47"/>
        <v>13586.886533576298</v>
      </c>
      <c r="F32" s="29">
        <f t="shared" si="48"/>
        <v>-1.3772186833382775E-2</v>
      </c>
      <c r="G32" s="28">
        <f t="shared" si="49"/>
        <v>13288.530537633198</v>
      </c>
      <c r="H32" s="29">
        <f t="shared" si="50"/>
        <v>8.4893526086835657E-3</v>
      </c>
      <c r="J32" s="30">
        <f t="shared" si="51"/>
        <v>0.1140975246612181</v>
      </c>
      <c r="K32" s="30">
        <f t="shared" si="52"/>
        <v>0.28524381165304524</v>
      </c>
      <c r="M32" s="31">
        <f t="shared" si="53"/>
        <v>1914238.8163065829</v>
      </c>
      <c r="N32" s="20" t="str">
        <f t="shared" si="54"/>
        <v>1D357E</v>
      </c>
    </row>
    <row r="33" spans="1:15" s="19" customFormat="1" x14ac:dyDescent="0.2">
      <c r="A33" s="22">
        <v>80</v>
      </c>
      <c r="B33" s="28">
        <v>11257.693146645792</v>
      </c>
      <c r="C33" s="28">
        <f t="shared" ref="C33" si="55">B$14*EXP(B$36*(1/(273.15+A33)-(1/298.15)))</f>
        <v>11206.433974268542</v>
      </c>
      <c r="D33" s="29">
        <f t="shared" ref="D33" si="56">(B33-C33)/B33</f>
        <v>4.5532572001682169E-3</v>
      </c>
      <c r="E33" s="24">
        <f t="shared" ref="E33" si="57">B$14*EXP(B$38*(1/(273.15+A33)-(1/298.15)))</f>
        <v>11479.76072793033</v>
      </c>
      <c r="F33" s="29">
        <f t="shared" ref="F33" si="58">(B33-E33)/B33</f>
        <v>-1.9725851326006606E-2</v>
      </c>
      <c r="G33" s="28">
        <f t="shared" ref="G33" si="59">B$14*EXP(B$37*(1/(273.15+A33)-(1/298.15)))</f>
        <v>11206.647935421508</v>
      </c>
      <c r="H33" s="29">
        <f t="shared" ref="H33" si="60">(B33-G33)/B33</f>
        <v>4.5342514278329388E-3</v>
      </c>
      <c r="J33" s="30">
        <f t="shared" ref="J33" si="61">(B$2*B33)/(B$2*B33+B$3*B33+B$2*B$3)</f>
        <v>9.8175460026755978E-2</v>
      </c>
      <c r="K33" s="30">
        <f t="shared" ref="K33" si="62">2.5*J33</f>
        <v>0.24543865006688995</v>
      </c>
      <c r="M33" s="31">
        <f t="shared" ref="M33" si="63">J33*2^24</f>
        <v>1647110.8987682508</v>
      </c>
      <c r="N33" s="20" t="str">
        <f t="shared" ref="N33" si="64">DEC2HEX(INT(M33))</f>
        <v>192206</v>
      </c>
    </row>
    <row r="34" spans="1:15" x14ac:dyDescent="0.2">
      <c r="A34" s="21">
        <v>85</v>
      </c>
      <c r="B34" s="7">
        <v>9496</v>
      </c>
      <c r="C34" s="7">
        <f>B$14*EXP(B$36*(1/(273.15+A34)-(1/298.15)))</f>
        <v>9495.804978537406</v>
      </c>
      <c r="D34" s="6">
        <f t="shared" si="20"/>
        <v>2.0537222261374626E-5</v>
      </c>
      <c r="E34" s="1">
        <f>B$14*EXP(B$38*(1/(273.15+A34)-(1/298.15)))</f>
        <v>9745.1650805176032</v>
      </c>
      <c r="F34" s="6">
        <f t="shared" si="15"/>
        <v>-2.6238951191828477E-2</v>
      </c>
      <c r="G34" s="7">
        <f>B$14*EXP(B$37*(1/(273.15+A34)-(1/298.15)))</f>
        <v>9496.0000000000018</v>
      </c>
      <c r="H34" s="6">
        <f t="shared" si="16"/>
        <v>-1.9155322278284082E-16</v>
      </c>
      <c r="J34" s="2">
        <f t="shared" si="17"/>
        <v>8.4503851870708302E-2</v>
      </c>
      <c r="K34" s="2">
        <f t="shared" si="18"/>
        <v>0.21125962967677075</v>
      </c>
      <c r="M34" s="4">
        <f t="shared" si="19"/>
        <v>1417739.3756668773</v>
      </c>
      <c r="N34" s="5" t="str">
        <f t="shared" si="0"/>
        <v>15A20B</v>
      </c>
    </row>
    <row r="36" spans="1:15" x14ac:dyDescent="0.2">
      <c r="A36" t="s">
        <v>12</v>
      </c>
      <c r="B36" s="4">
        <v>4190</v>
      </c>
    </row>
    <row r="37" spans="1:15" x14ac:dyDescent="0.2">
      <c r="A37" t="s">
        <v>10</v>
      </c>
      <c r="B37" s="4">
        <f>LN(B34/B14)/(1/(273.15+A34)-1/(273.15+A14))</f>
        <v>4189.9634493855992</v>
      </c>
      <c r="N37" s="1"/>
    </row>
    <row r="38" spans="1:15" x14ac:dyDescent="0.2">
      <c r="A38" t="s">
        <v>13</v>
      </c>
      <c r="B38" s="4">
        <f>LN(B29/B14)/(1/(273.15+A29)-1/(273.15+A14))</f>
        <v>4143.8679415415663</v>
      </c>
    </row>
    <row r="42" spans="1:15" x14ac:dyDescent="0.2">
      <c r="A42" t="s">
        <v>16</v>
      </c>
      <c r="B42">
        <v>0</v>
      </c>
      <c r="C42" s="9" t="s">
        <v>22</v>
      </c>
      <c r="E42">
        <f>HEX2DEC(C42)</f>
        <v>2633904</v>
      </c>
      <c r="F42" s="2">
        <f>2.5*E42/16777215</f>
        <v>0.39248230412496948</v>
      </c>
      <c r="H42" t="s">
        <v>17</v>
      </c>
      <c r="I42" s="10">
        <f>F42/2.5</f>
        <v>0.15699292164998779</v>
      </c>
      <c r="J42" t="s">
        <v>18</v>
      </c>
      <c r="K42" s="2">
        <f>(I42*100*330)/((1-I42)*330-(I42*100))</f>
        <v>19.736776036465276</v>
      </c>
      <c r="L42" t="s">
        <v>19</v>
      </c>
      <c r="M42" s="11">
        <f>(298.15*4144)/(4144+298.15*LN(K42/100))-273.15</f>
        <v>64.409407173645604</v>
      </c>
      <c r="N42" t="s">
        <v>20</v>
      </c>
      <c r="O42" s="4">
        <f>9*M42/5+32</f>
        <v>147.9369329125621</v>
      </c>
    </row>
    <row r="43" spans="1:15" x14ac:dyDescent="0.2">
      <c r="A43" t="s">
        <v>16</v>
      </c>
      <c r="B43">
        <v>0</v>
      </c>
      <c r="C43" s="9" t="s">
        <v>21</v>
      </c>
      <c r="E43">
        <f>HEX2DEC(C43)</f>
        <v>7381494</v>
      </c>
      <c r="F43" s="2">
        <f>2.5*E43/16777215</f>
        <v>1.0999283850150339</v>
      </c>
      <c r="H43" t="s">
        <v>17</v>
      </c>
      <c r="I43" s="10">
        <f>F43/2.5</f>
        <v>0.43997135400601356</v>
      </c>
      <c r="J43" t="s">
        <v>18</v>
      </c>
      <c r="K43" s="2">
        <f>(I43*100*330)/((1-I43)*330-(I43*100))</f>
        <v>103.10926566203612</v>
      </c>
      <c r="L43" t="s">
        <v>19</v>
      </c>
      <c r="M43" s="11">
        <f>(298.15*4144)/(4144+298.15*LN(K43/100))-273.15</f>
        <v>24.344630513331367</v>
      </c>
      <c r="N43" t="s">
        <v>20</v>
      </c>
      <c r="O43" s="4">
        <f>9*M43/5+32</f>
        <v>75.820334923996455</v>
      </c>
    </row>
  </sheetData>
  <phoneticPr fontId="1" type="noConversion"/>
  <pageMargins left="0.75" right="0.75" top="1" bottom="1" header="0.5" footer="0.5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workbookViewId="0">
      <selection activeCell="D4" sqref="D4"/>
    </sheetView>
  </sheetViews>
  <sheetFormatPr defaultRowHeight="12.75" x14ac:dyDescent="0.2"/>
  <cols>
    <col min="2" max="3" width="10" bestFit="1" customWidth="1"/>
    <col min="4" max="5" width="8.7109375" customWidth="1"/>
    <col min="7" max="7" width="14.42578125" bestFit="1" customWidth="1"/>
    <col min="9" max="9" width="8.5703125" bestFit="1" customWidth="1"/>
    <col min="10" max="10" width="13.85546875" customWidth="1"/>
    <col min="13" max="13" width="11.5703125" bestFit="1" customWidth="1"/>
    <col min="15" max="15" width="5" customWidth="1"/>
    <col min="16" max="16" width="20" bestFit="1" customWidth="1"/>
  </cols>
  <sheetData>
    <row r="1" spans="1:20" x14ac:dyDescent="0.2">
      <c r="A1" t="s">
        <v>5</v>
      </c>
    </row>
    <row r="2" spans="1:20" x14ac:dyDescent="0.2">
      <c r="A2" t="s">
        <v>2</v>
      </c>
      <c r="B2" s="1">
        <v>41200</v>
      </c>
      <c r="C2" s="1"/>
      <c r="D2" s="1"/>
      <c r="E2" s="1"/>
      <c r="F2" s="1"/>
      <c r="G2" s="1" t="s">
        <v>28</v>
      </c>
      <c r="H2" s="24"/>
      <c r="J2" s="2"/>
      <c r="K2" s="2"/>
      <c r="M2" s="4"/>
      <c r="N2" s="5"/>
    </row>
    <row r="3" spans="1:20" x14ac:dyDescent="0.2">
      <c r="A3" t="s">
        <v>3</v>
      </c>
      <c r="B3" s="1">
        <v>59000</v>
      </c>
      <c r="C3" s="1"/>
      <c r="D3" s="1"/>
      <c r="E3" s="1"/>
      <c r="F3" s="1"/>
      <c r="G3" s="1" t="s">
        <v>29</v>
      </c>
      <c r="H3" s="1"/>
    </row>
    <row r="4" spans="1:20" x14ac:dyDescent="0.2">
      <c r="A4" t="s">
        <v>4</v>
      </c>
      <c r="G4" t="s">
        <v>30</v>
      </c>
    </row>
    <row r="6" spans="1:20" x14ac:dyDescent="0.2">
      <c r="K6" t="s">
        <v>1</v>
      </c>
      <c r="M6" t="s">
        <v>1</v>
      </c>
      <c r="N6" t="s">
        <v>1</v>
      </c>
      <c r="R6" t="s">
        <v>31</v>
      </c>
      <c r="S6">
        <f>(A21-A12)/(J21-J12)</f>
        <v>-311.3288228551134</v>
      </c>
    </row>
    <row r="7" spans="1:20" x14ac:dyDescent="0.2">
      <c r="A7" s="21" t="s">
        <v>0</v>
      </c>
      <c r="B7" t="s">
        <v>1</v>
      </c>
      <c r="C7" t="s">
        <v>15</v>
      </c>
      <c r="E7" t="s">
        <v>15</v>
      </c>
      <c r="J7" t="s">
        <v>6</v>
      </c>
      <c r="K7" s="3" t="s">
        <v>7</v>
      </c>
      <c r="M7" t="s">
        <v>8</v>
      </c>
      <c r="N7" t="s">
        <v>9</v>
      </c>
      <c r="R7" t="s">
        <v>32</v>
      </c>
      <c r="S7">
        <f>A12-S6*J12</f>
        <v>126.15754924826719</v>
      </c>
      <c r="T7">
        <f>A29-J29*S6</f>
        <v>122.60443149469846</v>
      </c>
    </row>
    <row r="8" spans="1:20" x14ac:dyDescent="0.2">
      <c r="A8" s="21" t="s">
        <v>4</v>
      </c>
      <c r="B8" s="19" t="s">
        <v>23</v>
      </c>
      <c r="C8" t="s">
        <v>11</v>
      </c>
      <c r="D8" t="s">
        <v>14</v>
      </c>
      <c r="E8" t="s">
        <v>13</v>
      </c>
      <c r="F8" t="s">
        <v>14</v>
      </c>
      <c r="G8" t="s">
        <v>10</v>
      </c>
      <c r="H8" t="s">
        <v>14</v>
      </c>
    </row>
    <row r="9" spans="1:20" x14ac:dyDescent="0.2">
      <c r="A9" s="22" t="s">
        <v>24</v>
      </c>
      <c r="B9" s="7">
        <v>1000000000000</v>
      </c>
      <c r="C9" s="1"/>
      <c r="D9" s="1"/>
      <c r="E9" s="1"/>
      <c r="F9" s="1"/>
      <c r="G9" s="1"/>
      <c r="H9" s="1"/>
      <c r="J9" s="16">
        <f>(B$2*B9)/(B$2*B9+B$3*B9+B$2*B$3)</f>
        <v>0.4111776347356228</v>
      </c>
      <c r="K9" s="16">
        <f>2.5*J9</f>
        <v>1.027944086839057</v>
      </c>
      <c r="L9" s="12"/>
      <c r="M9" s="17">
        <f>J9*2^24</f>
        <v>6898415.9923286466</v>
      </c>
      <c r="N9" s="25" t="str">
        <f t="shared" ref="N9:N34" si="0">DEC2HEX(INT(M9))</f>
        <v>6942EF</v>
      </c>
      <c r="P9" s="12" t="s">
        <v>27</v>
      </c>
    </row>
    <row r="10" spans="1:20" x14ac:dyDescent="0.2">
      <c r="A10" s="21">
        <v>0</v>
      </c>
      <c r="B10" s="7">
        <v>340900</v>
      </c>
      <c r="C10" s="7">
        <f t="shared" ref="C10:C25" si="1">B$14*EXP(B$36*(1/(273.15+A10)-(1/298.15)))</f>
        <v>361911.00701547321</v>
      </c>
      <c r="D10" s="6">
        <f>(B10-C10)/B10</f>
        <v>-6.1633930816876528E-2</v>
      </c>
      <c r="E10" s="1">
        <f t="shared" ref="E10:E25" si="2">B$14*EXP(B$38*(1/(273.15+A10)-(1/298.15)))</f>
        <v>356821.95217219734</v>
      </c>
      <c r="F10" s="6">
        <f>(B10-E10)/B10</f>
        <v>-4.6705638522139464E-2</v>
      </c>
      <c r="G10" s="7">
        <f t="shared" ref="G10:G25" si="3">B$14*EXP(B$37*(1/(273.15+A10)-(1/298.15)))</f>
        <v>361906.94634238578</v>
      </c>
      <c r="H10" s="6">
        <f>(B10-G10)/B10</f>
        <v>-6.1622019191510065E-2</v>
      </c>
      <c r="J10" s="2">
        <f>(B$2*B10)/(B$2*B10+B$3*B10+B$2*B$3)</f>
        <v>0.38386093299129959</v>
      </c>
      <c r="K10" s="2">
        <f>2.5*J10</f>
        <v>0.95965233247824899</v>
      </c>
      <c r="M10" s="4">
        <f>J10*2^24</f>
        <v>6440117.7867565593</v>
      </c>
      <c r="N10" s="5" t="str">
        <f t="shared" si="0"/>
        <v>6244B5</v>
      </c>
      <c r="R10">
        <f t="shared" ref="R10:R34" si="4">J10*S$6+S$7</f>
        <v>6.6505768400203209</v>
      </c>
      <c r="S10">
        <f>A10-R10</f>
        <v>-6.6505768400203209</v>
      </c>
    </row>
    <row r="11" spans="1:20" x14ac:dyDescent="0.2">
      <c r="A11" s="21">
        <v>10</v>
      </c>
      <c r="B11" s="7">
        <v>204400</v>
      </c>
      <c r="C11" s="7">
        <f t="shared" si="1"/>
        <v>210534.94999036301</v>
      </c>
      <c r="D11" s="6">
        <f>(B11-C11)/B11</f>
        <v>-3.0014432438175174E-2</v>
      </c>
      <c r="E11" s="1">
        <f t="shared" si="2"/>
        <v>208816.29689514174</v>
      </c>
      <c r="F11" s="6">
        <f t="shared" ref="F11:F34" si="5">(B11-E11)/B11</f>
        <v>-2.1606149193452752E-2</v>
      </c>
      <c r="G11" s="7">
        <f t="shared" si="3"/>
        <v>210533.58271070564</v>
      </c>
      <c r="H11" s="6">
        <f t="shared" ref="H11:H34" si="6">(B11-G11)/B11</f>
        <v>-3.0007743203060856E-2</v>
      </c>
      <c r="J11" s="2">
        <f t="shared" ref="J11:J34" si="7">(B$2*B11)/(B$2*B11+B$3*B11+B$2*B$3)</f>
        <v>0.36755401611754351</v>
      </c>
      <c r="K11" s="2">
        <f t="shared" ref="K11:K34" si="8">2.5*J11</f>
        <v>0.91888504029385876</v>
      </c>
      <c r="M11" s="4">
        <f t="shared" ref="M11:M34" si="9">J11*2^24</f>
        <v>6166533.1200715089</v>
      </c>
      <c r="N11" s="5" t="str">
        <f t="shared" si="0"/>
        <v>5E1805</v>
      </c>
      <c r="R11">
        <f t="shared" si="4"/>
        <v>11.72739007472299</v>
      </c>
      <c r="S11">
        <f>A11-R11</f>
        <v>-1.7273900747229902</v>
      </c>
    </row>
    <row r="12" spans="1:20" x14ac:dyDescent="0.2">
      <c r="A12" s="21">
        <v>15</v>
      </c>
      <c r="B12" s="7">
        <v>160000</v>
      </c>
      <c r="C12" s="7">
        <f t="shared" si="1"/>
        <v>162858.05263555967</v>
      </c>
      <c r="D12" s="6">
        <f t="shared" ref="D12:D13" si="10">(B12-C12)/B12</f>
        <v>-1.7862828972247918E-2</v>
      </c>
      <c r="E12" s="1">
        <f t="shared" si="2"/>
        <v>161985.89870688811</v>
      </c>
      <c r="F12" s="6">
        <f t="shared" si="5"/>
        <v>-1.2411866918050692E-2</v>
      </c>
      <c r="G12" s="7">
        <f t="shared" si="3"/>
        <v>162857.35976906939</v>
      </c>
      <c r="H12" s="6">
        <f t="shared" si="6"/>
        <v>-1.7858498556683661E-2</v>
      </c>
      <c r="J12" s="2">
        <f t="shared" si="7"/>
        <v>0.35704226877830014</v>
      </c>
      <c r="K12" s="2">
        <f t="shared" si="8"/>
        <v>0.89260567194575036</v>
      </c>
      <c r="M12" s="4">
        <f t="shared" si="9"/>
        <v>5990175.2644235976</v>
      </c>
      <c r="N12" s="5" t="str">
        <f t="shared" si="0"/>
        <v>5B671F</v>
      </c>
      <c r="R12">
        <f t="shared" si="4"/>
        <v>15</v>
      </c>
      <c r="S12">
        <f t="shared" ref="S12:S13" si="11">A12-R12</f>
        <v>0</v>
      </c>
    </row>
    <row r="13" spans="1:20" x14ac:dyDescent="0.2">
      <c r="A13" s="21">
        <v>20</v>
      </c>
      <c r="B13" s="7">
        <v>126100</v>
      </c>
      <c r="C13" s="7">
        <f t="shared" si="1"/>
        <v>127086.17171342798</v>
      </c>
      <c r="D13" s="6">
        <f t="shared" si="10"/>
        <v>-7.8205528424105889E-3</v>
      </c>
      <c r="E13" s="1">
        <f t="shared" si="2"/>
        <v>126751.22672340735</v>
      </c>
      <c r="F13" s="6">
        <f t="shared" si="5"/>
        <v>-5.1643673545388701E-3</v>
      </c>
      <c r="G13" s="7">
        <f t="shared" si="3"/>
        <v>127085.90598512306</v>
      </c>
      <c r="H13" s="6">
        <f t="shared" si="6"/>
        <v>-7.818445560055955E-3</v>
      </c>
      <c r="J13" s="2">
        <f t="shared" si="7"/>
        <v>0.34483692441666747</v>
      </c>
      <c r="K13" s="2">
        <f t="shared" si="8"/>
        <v>0.86209231104166872</v>
      </c>
      <c r="M13" s="4">
        <f t="shared" si="9"/>
        <v>5785403.5657141041</v>
      </c>
      <c r="N13" s="5" t="str">
        <f t="shared" si="0"/>
        <v>58473B</v>
      </c>
      <c r="R13">
        <f t="shared" si="4"/>
        <v>18.799875492648397</v>
      </c>
      <c r="S13">
        <f t="shared" si="11"/>
        <v>1.2001245073516031</v>
      </c>
    </row>
    <row r="14" spans="1:20" x14ac:dyDescent="0.2">
      <c r="A14" s="21">
        <v>25</v>
      </c>
      <c r="B14" s="7">
        <v>100000</v>
      </c>
      <c r="C14" s="7">
        <f t="shared" si="1"/>
        <v>100000</v>
      </c>
      <c r="D14" s="6">
        <f>(B14-C14)/B14</f>
        <v>0</v>
      </c>
      <c r="E14" s="1">
        <f t="shared" si="2"/>
        <v>100000</v>
      </c>
      <c r="F14" s="6">
        <f t="shared" si="5"/>
        <v>0</v>
      </c>
      <c r="G14" s="7">
        <f t="shared" si="3"/>
        <v>100000</v>
      </c>
      <c r="H14" s="6">
        <f t="shared" si="6"/>
        <v>0</v>
      </c>
      <c r="J14" s="2">
        <f t="shared" si="7"/>
        <v>0.33090243197224273</v>
      </c>
      <c r="K14" s="2">
        <f t="shared" si="8"/>
        <v>0.82725607993060679</v>
      </c>
      <c r="M14" s="4">
        <f t="shared" si="9"/>
        <v>5551621.5761236222</v>
      </c>
      <c r="N14" s="5" t="str">
        <f t="shared" si="0"/>
        <v>54B605</v>
      </c>
      <c r="R14">
        <f t="shared" si="4"/>
        <v>23.138084622454613</v>
      </c>
      <c r="S14">
        <f>A14-R14</f>
        <v>1.8619153775453867</v>
      </c>
    </row>
    <row r="15" spans="1:20" x14ac:dyDescent="0.2">
      <c r="A15" s="21">
        <v>35</v>
      </c>
      <c r="B15" s="7">
        <v>64080</v>
      </c>
      <c r="C15" s="7">
        <f t="shared" si="1"/>
        <v>63377.910095265957</v>
      </c>
      <c r="D15" s="6">
        <f t="shared" ref="D15:D34" si="12">(B15-C15)/B15</f>
        <v>1.095645918748506E-2</v>
      </c>
      <c r="E15" s="1">
        <f t="shared" si="2"/>
        <v>63696.942321042174</v>
      </c>
      <c r="F15" s="6">
        <f t="shared" si="5"/>
        <v>5.9778039787426072E-3</v>
      </c>
      <c r="G15" s="7">
        <f t="shared" si="3"/>
        <v>63378.162232203671</v>
      </c>
      <c r="H15" s="6">
        <f t="shared" si="6"/>
        <v>1.0952524466234848E-2</v>
      </c>
      <c r="J15" s="2">
        <f t="shared" si="7"/>
        <v>0.29826146999598718</v>
      </c>
      <c r="K15" s="2">
        <f t="shared" si="8"/>
        <v>0.74565367498996793</v>
      </c>
      <c r="M15" s="4">
        <f t="shared" si="9"/>
        <v>5003997.1066001961</v>
      </c>
      <c r="N15" s="5" t="str">
        <f t="shared" si="0"/>
        <v>4C5ADD</v>
      </c>
      <c r="R15">
        <f t="shared" si="4"/>
        <v>33.30015689138078</v>
      </c>
      <c r="S15">
        <f t="shared" ref="S15:S29" si="13">A15-R15</f>
        <v>1.6998431086192198</v>
      </c>
    </row>
    <row r="16" spans="1:20" x14ac:dyDescent="0.2">
      <c r="A16" s="21">
        <v>40</v>
      </c>
      <c r="B16" s="7">
        <v>51750</v>
      </c>
      <c r="C16" s="7">
        <f t="shared" si="1"/>
        <v>51009.432807969977</v>
      </c>
      <c r="D16" s="6">
        <f>(B16-C16)/B16</f>
        <v>1.4310477140676771E-2</v>
      </c>
      <c r="E16" s="1">
        <f t="shared" si="2"/>
        <v>51388.89432713425</v>
      </c>
      <c r="F16" s="6">
        <f>(B16-E16)/B16</f>
        <v>6.9778873983719712E-3</v>
      </c>
      <c r="G16" s="7">
        <f t="shared" si="3"/>
        <v>51009.732344973279</v>
      </c>
      <c r="H16" s="6">
        <f>(B16-G16)/B16</f>
        <v>1.4304688986023587E-2</v>
      </c>
      <c r="J16" s="2">
        <f t="shared" si="7"/>
        <v>0.27994459142742723</v>
      </c>
      <c r="K16" s="2">
        <f t="shared" si="8"/>
        <v>0.69986147856856806</v>
      </c>
      <c r="M16" s="4">
        <f>J16*2^24</f>
        <v>4696690.8784096949</v>
      </c>
      <c r="N16" s="5" t="str">
        <f t="shared" si="0"/>
        <v>47AA72</v>
      </c>
      <c r="R16">
        <f t="shared" si="4"/>
        <v>39.002729134510602</v>
      </c>
      <c r="S16">
        <f t="shared" si="13"/>
        <v>0.99727086548939781</v>
      </c>
    </row>
    <row r="17" spans="1:19" x14ac:dyDescent="0.2">
      <c r="A17" s="21">
        <v>41</v>
      </c>
      <c r="B17" s="7">
        <f>E17</f>
        <v>49269.211046098848</v>
      </c>
      <c r="C17" s="7">
        <f t="shared" si="1"/>
        <v>48882.473397244983</v>
      </c>
      <c r="D17" s="6">
        <f>(B17-C17)/B17</f>
        <v>7.8494792314009829E-3</v>
      </c>
      <c r="E17" s="1">
        <f t="shared" si="2"/>
        <v>49269.211046098848</v>
      </c>
      <c r="F17" s="6">
        <f>(B17-E17)/B17</f>
        <v>0</v>
      </c>
      <c r="G17" s="7">
        <f t="shared" si="3"/>
        <v>48882.778606230255</v>
      </c>
      <c r="H17" s="6">
        <f>(B17-G17)/B17</f>
        <v>7.843284511031173E-3</v>
      </c>
      <c r="J17" s="2">
        <f t="shared" si="7"/>
        <v>0.27551691156880093</v>
      </c>
      <c r="K17" s="2">
        <f t="shared" si="8"/>
        <v>0.68879227892200234</v>
      </c>
      <c r="M17" s="4">
        <f>J17*2^24</f>
        <v>4622406.737042672</v>
      </c>
      <c r="N17" s="5" t="str">
        <f t="shared" si="0"/>
        <v>468846</v>
      </c>
      <c r="R17">
        <f t="shared" si="4"/>
        <v>40.381193492876022</v>
      </c>
      <c r="S17">
        <f t="shared" si="13"/>
        <v>0.61880650712397767</v>
      </c>
    </row>
    <row r="18" spans="1:19" x14ac:dyDescent="0.2">
      <c r="A18" s="21">
        <v>42</v>
      </c>
      <c r="B18" s="7">
        <f>E18</f>
        <v>47249.589224504634</v>
      </c>
      <c r="C18" s="7">
        <f t="shared" si="1"/>
        <v>46856.866051321427</v>
      </c>
      <c r="D18" s="6">
        <f>(B18-C18)/B18</f>
        <v>8.3116738077276785E-3</v>
      </c>
      <c r="E18" s="1">
        <f t="shared" si="2"/>
        <v>47249.589224504634</v>
      </c>
      <c r="F18" s="6">
        <f>(B18-E18)/B18</f>
        <v>0</v>
      </c>
      <c r="G18" s="7">
        <f t="shared" si="3"/>
        <v>46857.175911774808</v>
      </c>
      <c r="H18" s="6">
        <f>(B18-G18)/B18</f>
        <v>8.3051158575218383E-3</v>
      </c>
      <c r="J18" s="2">
        <f t="shared" si="7"/>
        <v>0.27168546227179396</v>
      </c>
      <c r="K18" s="2">
        <f t="shared" si="8"/>
        <v>0.67921365567948488</v>
      </c>
      <c r="M18" s="4">
        <f>J18*2^24</f>
        <v>4558125.6845937381</v>
      </c>
      <c r="N18" s="5" t="str">
        <f t="shared" si="0"/>
        <v>458D2D</v>
      </c>
      <c r="R18">
        <f t="shared" si="4"/>
        <v>41.574034092342245</v>
      </c>
      <c r="S18">
        <f t="shared" si="13"/>
        <v>0.42596590765775488</v>
      </c>
    </row>
    <row r="19" spans="1:19" x14ac:dyDescent="0.2">
      <c r="A19" s="21">
        <v>43</v>
      </c>
      <c r="B19" s="7">
        <f>E19</f>
        <v>45324.754439196782</v>
      </c>
      <c r="C19" s="7">
        <f t="shared" si="1"/>
        <v>44927.223200644949</v>
      </c>
      <c r="D19" s="6">
        <f>(B19-C19)/B19</f>
        <v>8.7707312145534587E-3</v>
      </c>
      <c r="E19" s="1">
        <f t="shared" si="2"/>
        <v>45324.754439196782</v>
      </c>
      <c r="F19" s="6">
        <f>(B19-E19)/B19</f>
        <v>0</v>
      </c>
      <c r="G19" s="7">
        <f t="shared" si="3"/>
        <v>44927.536782034134</v>
      </c>
      <c r="H19" s="6">
        <f>(B19-G19)/B19</f>
        <v>8.7638126687595366E-3</v>
      </c>
      <c r="J19" s="2">
        <f t="shared" si="7"/>
        <v>0.26782683821426639</v>
      </c>
      <c r="K19" s="2">
        <f t="shared" si="8"/>
        <v>0.66956709553566596</v>
      </c>
      <c r="M19" s="4">
        <f>J19*2^24</f>
        <v>4493388.7153178016</v>
      </c>
      <c r="N19" s="5" t="str">
        <f t="shared" si="0"/>
        <v>44904C</v>
      </c>
      <c r="R19">
        <f t="shared" si="4"/>
        <v>42.775334978012722</v>
      </c>
      <c r="S19">
        <f t="shared" si="13"/>
        <v>0.22466502198727767</v>
      </c>
    </row>
    <row r="20" spans="1:19" x14ac:dyDescent="0.2">
      <c r="A20" s="21">
        <v>44</v>
      </c>
      <c r="B20" s="26">
        <v>43788.153001382801</v>
      </c>
      <c r="C20" s="7">
        <f t="shared" si="1"/>
        <v>43088.471641512246</v>
      </c>
      <c r="D20" s="6">
        <f>(B20-C20)/B20</f>
        <v>1.5978782202767498E-2</v>
      </c>
      <c r="E20" s="1">
        <f t="shared" si="2"/>
        <v>43489.737675042939</v>
      </c>
      <c r="F20" s="6">
        <f>(B20-E20)/B20</f>
        <v>6.8149786160297352E-3</v>
      </c>
      <c r="G20" s="7">
        <f t="shared" si="3"/>
        <v>43088.788096130345</v>
      </c>
      <c r="H20" s="6">
        <f>(B20-G20)/B20</f>
        <v>1.5971555256746511E-2</v>
      </c>
      <c r="J20" s="2">
        <f t="shared" si="7"/>
        <v>0.26458979612626687</v>
      </c>
      <c r="K20" s="2">
        <f t="shared" si="8"/>
        <v>0.66147449031566719</v>
      </c>
      <c r="M20" s="4">
        <f>J20*2^24</f>
        <v>4439080.1610063426</v>
      </c>
      <c r="N20" s="8" t="str">
        <f t="shared" si="0"/>
        <v>43BC28</v>
      </c>
      <c r="R20">
        <f t="shared" si="4"/>
        <v>43.783119480802071</v>
      </c>
      <c r="S20">
        <f t="shared" si="13"/>
        <v>0.21688051919792883</v>
      </c>
    </row>
    <row r="21" spans="1:19" s="12" customFormat="1" x14ac:dyDescent="0.2">
      <c r="A21" s="23">
        <v>45</v>
      </c>
      <c r="B21" s="27">
        <v>42020.832987922593</v>
      </c>
      <c r="C21" s="15">
        <f t="shared" si="1"/>
        <v>41335.832635213308</v>
      </c>
      <c r="D21" s="14">
        <f t="shared" si="12"/>
        <v>1.6301446306553804E-2</v>
      </c>
      <c r="E21" s="13">
        <f t="shared" si="2"/>
        <v>41739.85612823932</v>
      </c>
      <c r="F21" s="14">
        <f t="shared" si="5"/>
        <v>6.6866085154482701E-3</v>
      </c>
      <c r="G21" s="15">
        <f t="shared" si="3"/>
        <v>41336.151191587553</v>
      </c>
      <c r="H21" s="14">
        <f t="shared" si="6"/>
        <v>1.6293865391288843E-2</v>
      </c>
      <c r="J21" s="16">
        <f>(B$2*B21)/(B$2*B21+B$3*B21+B$2*B$3)</f>
        <v>0.2606811296942988</v>
      </c>
      <c r="K21" s="16">
        <f t="shared" si="8"/>
        <v>0.65170282423574699</v>
      </c>
      <c r="M21" s="17">
        <f t="shared" si="9"/>
        <v>4373503.6200052649</v>
      </c>
      <c r="N21" s="18" t="str">
        <f t="shared" si="0"/>
        <v>42BBFF</v>
      </c>
      <c r="P21" s="12" t="s">
        <v>25</v>
      </c>
      <c r="R21">
        <f t="shared" si="4"/>
        <v>45</v>
      </c>
      <c r="S21">
        <f t="shared" si="13"/>
        <v>0</v>
      </c>
    </row>
    <row r="22" spans="1:19" x14ac:dyDescent="0.2">
      <c r="A22" s="21">
        <v>46</v>
      </c>
      <c r="B22" s="26">
        <v>40333.508690218456</v>
      </c>
      <c r="C22" s="7">
        <f t="shared" si="1"/>
        <v>39664.803361766433</v>
      </c>
      <c r="D22" s="6">
        <f t="shared" si="12"/>
        <v>1.6579398871246594E-2</v>
      </c>
      <c r="E22" s="1">
        <f t="shared" si="2"/>
        <v>40070.695307612172</v>
      </c>
      <c r="F22" s="6">
        <f t="shared" si="5"/>
        <v>6.5160059499118307E-3</v>
      </c>
      <c r="G22" s="7">
        <f t="shared" si="3"/>
        <v>39665.123318586004</v>
      </c>
      <c r="H22" s="6">
        <f t="shared" si="6"/>
        <v>1.6571466092027511E-2</v>
      </c>
      <c r="J22" s="2">
        <f t="shared" si="7"/>
        <v>0.25674979863847486</v>
      </c>
      <c r="K22" s="2">
        <f t="shared" si="8"/>
        <v>0.64187449659618712</v>
      </c>
      <c r="M22" s="4">
        <f t="shared" si="9"/>
        <v>4307546.8297141986</v>
      </c>
      <c r="N22" s="20" t="str">
        <f t="shared" si="0"/>
        <v>41BA5A</v>
      </c>
      <c r="R22">
        <f t="shared" si="4"/>
        <v>46.223936669863406</v>
      </c>
      <c r="S22">
        <f t="shared" si="13"/>
        <v>-0.22393666986340577</v>
      </c>
    </row>
    <row r="23" spans="1:19" x14ac:dyDescent="0.2">
      <c r="A23" s="21">
        <v>47</v>
      </c>
      <c r="B23" s="26">
        <v>38722.195729607905</v>
      </c>
      <c r="C23" s="7">
        <f t="shared" si="1"/>
        <v>38071.139629809259</v>
      </c>
      <c r="D23" s="6">
        <f t="shared" si="12"/>
        <v>1.681351192853028E-2</v>
      </c>
      <c r="E23" s="1">
        <f t="shared" si="2"/>
        <v>38478.092340180337</v>
      </c>
      <c r="F23" s="6">
        <f t="shared" si="5"/>
        <v>6.30396558945444E-3</v>
      </c>
      <c r="G23" s="7">
        <f t="shared" si="3"/>
        <v>38071.460350330613</v>
      </c>
      <c r="H23" s="6">
        <f t="shared" si="6"/>
        <v>1.6805229326903183E-2</v>
      </c>
      <c r="J23" s="2">
        <f t="shared" si="7"/>
        <v>0.25279894177619089</v>
      </c>
      <c r="K23" s="2">
        <f t="shared" si="8"/>
        <v>0.63199735444047722</v>
      </c>
      <c r="M23" s="4">
        <f t="shared" si="9"/>
        <v>4241262.4507505782</v>
      </c>
      <c r="N23" s="20" t="str">
        <f t="shared" si="0"/>
        <v>40B76E</v>
      </c>
      <c r="R23">
        <f t="shared" si="4"/>
        <v>47.453952286067334</v>
      </c>
      <c r="S23">
        <f t="shared" si="13"/>
        <v>-0.4539522860673344</v>
      </c>
    </row>
    <row r="24" spans="1:19" x14ac:dyDescent="0.2">
      <c r="A24" s="21">
        <v>48</v>
      </c>
      <c r="B24" s="26">
        <v>37183.125224085219</v>
      </c>
      <c r="C24" s="7">
        <f t="shared" si="1"/>
        <v>36550.83975180173</v>
      </c>
      <c r="D24" s="6">
        <f t="shared" si="12"/>
        <v>1.7004634991625953E-2</v>
      </c>
      <c r="E24" s="1">
        <f t="shared" si="2"/>
        <v>36958.120394431826</v>
      </c>
      <c r="F24" s="6">
        <f t="shared" si="5"/>
        <v>6.0512619178026295E-3</v>
      </c>
      <c r="G24" s="7">
        <f t="shared" si="3"/>
        <v>36551.160658693021</v>
      </c>
      <c r="H24" s="6">
        <f t="shared" si="6"/>
        <v>1.6996004547322061E-2</v>
      </c>
      <c r="J24" s="2">
        <f t="shared" si="7"/>
        <v>0.24883172740787771</v>
      </c>
      <c r="K24" s="2">
        <f t="shared" si="8"/>
        <v>0.62207931851969422</v>
      </c>
      <c r="M24" s="4">
        <f t="shared" si="9"/>
        <v>4174703.6383750844</v>
      </c>
      <c r="N24" s="20" t="str">
        <f t="shared" si="0"/>
        <v>3FB36F</v>
      </c>
      <c r="R24">
        <f t="shared" si="4"/>
        <v>48.689060465368158</v>
      </c>
      <c r="S24">
        <f t="shared" si="13"/>
        <v>-0.68906046536815779</v>
      </c>
    </row>
    <row r="25" spans="1:19" x14ac:dyDescent="0.2">
      <c r="A25" s="21">
        <v>49</v>
      </c>
      <c r="B25" s="26">
        <v>35712.731256649546</v>
      </c>
      <c r="C25" s="7">
        <f t="shared" si="1"/>
        <v>35100.129500672068</v>
      </c>
      <c r="D25" s="6">
        <f t="shared" si="12"/>
        <v>1.7153595774431665E-2</v>
      </c>
      <c r="E25" s="1">
        <f t="shared" si="2"/>
        <v>35507.074141373065</v>
      </c>
      <c r="F25" s="6">
        <f t="shared" si="5"/>
        <v>5.758649871904953E-3</v>
      </c>
      <c r="G25" s="7">
        <f t="shared" si="3"/>
        <v>35100.450071261686</v>
      </c>
      <c r="H25" s="6">
        <f t="shared" si="6"/>
        <v>1.7144619407227651E-2</v>
      </c>
      <c r="J25" s="2">
        <f t="shared" si="7"/>
        <v>0.24485134302140241</v>
      </c>
      <c r="K25" s="2">
        <f t="shared" si="8"/>
        <v>0.61212835755350603</v>
      </c>
      <c r="M25" s="4">
        <f t="shared" si="9"/>
        <v>4107923.8697601608</v>
      </c>
      <c r="N25" s="20" t="str">
        <f t="shared" si="0"/>
        <v>3EAE93</v>
      </c>
      <c r="R25">
        <f t="shared" si="4"/>
        <v>49.928268850920389</v>
      </c>
      <c r="S25">
        <f t="shared" si="13"/>
        <v>-0.92826885092038935</v>
      </c>
    </row>
    <row r="26" spans="1:19" x14ac:dyDescent="0.2">
      <c r="A26" s="21">
        <v>50</v>
      </c>
      <c r="B26" s="7">
        <v>34310</v>
      </c>
      <c r="C26" s="7">
        <f>B$14*EXP(B$36*(1/(273.15+A26)-(1/298.15)))</f>
        <v>33715.448070442922</v>
      </c>
      <c r="D26" s="6">
        <f t="shared" si="12"/>
        <v>1.7328823362199871E-2</v>
      </c>
      <c r="E26" s="1">
        <f>B$14*EXP(B$38*(1/(273.15+A26)-(1/298.15)))</f>
        <v>34121.456179479545</v>
      </c>
      <c r="F26" s="6">
        <f t="shared" si="5"/>
        <v>5.4953022594128676E-3</v>
      </c>
      <c r="G26" s="7">
        <f>B$14*EXP(B$37*(1/(273.15+A26)-(1/298.15)))</f>
        <v>33715.767832339807</v>
      </c>
      <c r="H26" s="6">
        <f t="shared" si="6"/>
        <v>1.7319503575056638E-2</v>
      </c>
      <c r="J26" s="2">
        <f t="shared" si="7"/>
        <v>0.24086785028682858</v>
      </c>
      <c r="K26" s="2">
        <f t="shared" si="8"/>
        <v>0.60216962571707144</v>
      </c>
      <c r="M26" s="4">
        <f t="shared" si="9"/>
        <v>4041091.9517177851</v>
      </c>
      <c r="N26" s="5" t="str">
        <f t="shared" si="0"/>
        <v>3DA983</v>
      </c>
      <c r="R26">
        <f t="shared" si="4"/>
        <v>51.168444954827152</v>
      </c>
      <c r="S26">
        <f t="shared" si="13"/>
        <v>-1.1684449548271516</v>
      </c>
    </row>
    <row r="27" spans="1:19" x14ac:dyDescent="0.2">
      <c r="A27" s="21">
        <v>55</v>
      </c>
      <c r="B27" s="7">
        <v>28160</v>
      </c>
      <c r="C27" s="7">
        <f>B$14*EXP(B$36*(1/(273.15+A27)-(1/298.15)))</f>
        <v>27671.203627546747</v>
      </c>
      <c r="D27" s="6">
        <f t="shared" si="12"/>
        <v>1.7357825726322898E-2</v>
      </c>
      <c r="E27" s="1">
        <f>B$14*EXP(B$38*(1/(273.15+A27)-(1/298.15)))</f>
        <v>28065.406861990654</v>
      </c>
      <c r="F27" s="6">
        <f t="shared" si="5"/>
        <v>3.3591313213546217E-3</v>
      </c>
      <c r="G27" s="7">
        <f>B$14*EXP(B$37*(1/(273.15+A27)-(1/298.15)))</f>
        <v>27671.513754275402</v>
      </c>
      <c r="H27" s="6">
        <f t="shared" si="6"/>
        <v>1.7346812703288285E-2</v>
      </c>
      <c r="J27" s="2">
        <f t="shared" si="7"/>
        <v>0.22088662927954136</v>
      </c>
      <c r="K27" s="2">
        <f t="shared" si="8"/>
        <v>0.55221657319885342</v>
      </c>
      <c r="M27" s="4">
        <f t="shared" si="9"/>
        <v>3705862.6909347898</v>
      </c>
      <c r="N27" s="5" t="str">
        <f t="shared" si="0"/>
        <v>388C06</v>
      </c>
      <c r="R27">
        <f t="shared" si="4"/>
        <v>57.389174970233753</v>
      </c>
      <c r="S27">
        <f t="shared" si="13"/>
        <v>-2.3891749702337535</v>
      </c>
    </row>
    <row r="28" spans="1:19" x14ac:dyDescent="0.2">
      <c r="A28" s="21">
        <v>59</v>
      </c>
      <c r="B28" s="7">
        <f>E28</f>
        <v>24106.035686367832</v>
      </c>
      <c r="C28" s="7">
        <f>B$14*EXP(B$36*(1/(273.15+A28)-(1/298.15)))</f>
        <v>23727.241121345098</v>
      </c>
      <c r="D28" s="6">
        <f>(B28-C28)/B28</f>
        <v>1.5713681417842813E-2</v>
      </c>
      <c r="E28" s="1">
        <f>B$14*EXP(B$38*(1/(273.15+A28)-(1/298.15)))</f>
        <v>24106.035686367832</v>
      </c>
      <c r="F28" s="6">
        <f>(B28-E28)/B28</f>
        <v>0</v>
      </c>
      <c r="G28" s="7">
        <f>B$14*EXP(B$37*(1/(273.15+A28)-(1/298.15)))</f>
        <v>23727.538873214537</v>
      </c>
      <c r="H28" s="6">
        <f>(B28-G28)/B28</f>
        <v>1.5701329661904476E-2</v>
      </c>
      <c r="J28" s="2">
        <f>(B$2*B28)/(B$2*B28+B$3*B28+B$2*B$3)</f>
        <v>0.20493656737573057</v>
      </c>
      <c r="K28" s="2">
        <f t="shared" si="8"/>
        <v>0.51234141843932646</v>
      </c>
      <c r="M28" s="4">
        <f>J28*2^24</f>
        <v>3438265.057161185</v>
      </c>
      <c r="N28" s="8" t="str">
        <f t="shared" si="0"/>
        <v>3476B9</v>
      </c>
      <c r="R28">
        <f t="shared" si="4"/>
        <v>62.354888967213355</v>
      </c>
      <c r="S28">
        <f t="shared" si="13"/>
        <v>-3.3548889672133555</v>
      </c>
    </row>
    <row r="29" spans="1:19" s="12" customFormat="1" x14ac:dyDescent="0.2">
      <c r="A29" s="23">
        <v>60</v>
      </c>
      <c r="B29" s="15">
        <v>23220</v>
      </c>
      <c r="C29" s="15">
        <f>B$14*EXP(B$36*(1/(273.15+A29)-(1/298.15)))</f>
        <v>22845.602069150907</v>
      </c>
      <c r="D29" s="14">
        <f t="shared" si="12"/>
        <v>1.6123941897032409E-2</v>
      </c>
      <c r="E29" s="13">
        <f>B$14*EXP(B$38*(1/(273.15+A29)-(1/298.15)))</f>
        <v>23220</v>
      </c>
      <c r="F29" s="14">
        <f t="shared" si="5"/>
        <v>0</v>
      </c>
      <c r="G29" s="15">
        <f>B$14*EXP(B$37*(1/(273.15+A29)-(1/298.15)))</f>
        <v>22845.896303586815</v>
      </c>
      <c r="H29" s="14">
        <f t="shared" si="6"/>
        <v>1.6111270302032101E-2</v>
      </c>
      <c r="J29" s="16">
        <f t="shared" si="7"/>
        <v>0.20108781101784909</v>
      </c>
      <c r="K29" s="16">
        <f t="shared" si="8"/>
        <v>0.50271952754462268</v>
      </c>
      <c r="M29" s="17">
        <f t="shared" si="9"/>
        <v>3373693.640413634</v>
      </c>
      <c r="N29" s="18" t="str">
        <f t="shared" si="0"/>
        <v>337A7D</v>
      </c>
      <c r="P29" s="12" t="s">
        <v>26</v>
      </c>
      <c r="R29">
        <f t="shared" si="4"/>
        <v>63.553117753568728</v>
      </c>
      <c r="S29">
        <f t="shared" si="13"/>
        <v>-3.5531177535687277</v>
      </c>
    </row>
    <row r="30" spans="1:19" s="19" customFormat="1" x14ac:dyDescent="0.2">
      <c r="A30" s="22">
        <v>65</v>
      </c>
      <c r="B30" s="28">
        <v>19245.946382032289</v>
      </c>
      <c r="C30" s="28">
        <f t="shared" ref="C30:C33" si="14">B$14*EXP(B$36*(1/(273.15+A30)-(1/298.15)))</f>
        <v>18968.734785423549</v>
      </c>
      <c r="D30" s="29">
        <f t="shared" si="12"/>
        <v>1.4403635503606137E-2</v>
      </c>
      <c r="E30" s="24">
        <f t="shared" ref="E30:E33" si="15">B$14*EXP(B$38*(1/(273.15+A30)-(1/298.15)))</f>
        <v>19319.113292933434</v>
      </c>
      <c r="F30" s="29">
        <f t="shared" si="5"/>
        <v>-3.8016790366543329E-3</v>
      </c>
      <c r="G30" s="28">
        <f t="shared" ref="G30:G33" si="16">B$14*EXP(B$37*(1/(273.15+A30)-(1/298.15)))</f>
        <v>18969.009860967806</v>
      </c>
      <c r="H30" s="29">
        <f t="shared" si="6"/>
        <v>1.4389342855232433E-2</v>
      </c>
      <c r="J30" s="30">
        <f t="shared" si="7"/>
        <v>0.18189691201516867</v>
      </c>
      <c r="K30" s="30">
        <f t="shared" si="8"/>
        <v>0.45474228003792166</v>
      </c>
      <c r="M30" s="31">
        <f t="shared" si="9"/>
        <v>3051723.78261148</v>
      </c>
      <c r="N30" s="20" t="str">
        <f t="shared" si="0"/>
        <v>2E90CB</v>
      </c>
      <c r="R30">
        <f t="shared" si="4"/>
        <v>69.527797749604588</v>
      </c>
      <c r="S30">
        <f t="shared" ref="S30:S34" si="17">A30-R30</f>
        <v>-4.5277977496045878</v>
      </c>
    </row>
    <row r="31" spans="1:19" s="19" customFormat="1" x14ac:dyDescent="0.2">
      <c r="A31" s="22">
        <v>70</v>
      </c>
      <c r="B31" s="28">
        <v>16024.590619940183</v>
      </c>
      <c r="C31" s="28">
        <f t="shared" si="14"/>
        <v>15835.352463566838</v>
      </c>
      <c r="D31" s="29">
        <f t="shared" si="12"/>
        <v>1.1809234997733226E-2</v>
      </c>
      <c r="E31" s="24">
        <f t="shared" si="15"/>
        <v>16159.944439389565</v>
      </c>
      <c r="F31" s="29">
        <f t="shared" si="5"/>
        <v>-8.4466319708007935E-3</v>
      </c>
      <c r="G31" s="28">
        <f t="shared" si="16"/>
        <v>15835.607040824456</v>
      </c>
      <c r="H31" s="29">
        <f t="shared" si="6"/>
        <v>1.1793348335561593E-2</v>
      </c>
      <c r="J31" s="30">
        <f t="shared" si="7"/>
        <v>0.163562250720799</v>
      </c>
      <c r="K31" s="30">
        <f t="shared" si="8"/>
        <v>0.40890562680199749</v>
      </c>
      <c r="M31" s="31">
        <f t="shared" si="9"/>
        <v>2744119.2097890005</v>
      </c>
      <c r="N31" s="20" t="str">
        <f t="shared" si="0"/>
        <v>29DF37</v>
      </c>
      <c r="R31">
        <f t="shared" si="4"/>
        <v>75.235906267827914</v>
      </c>
      <c r="S31">
        <f t="shared" si="17"/>
        <v>-5.2359062678279145</v>
      </c>
    </row>
    <row r="32" spans="1:19" s="19" customFormat="1" x14ac:dyDescent="0.2">
      <c r="A32" s="22">
        <v>75</v>
      </c>
      <c r="B32" s="28">
        <v>13402.307451357761</v>
      </c>
      <c r="C32" s="28">
        <f t="shared" si="14"/>
        <v>13288.296580329023</v>
      </c>
      <c r="D32" s="29">
        <f t="shared" si="12"/>
        <v>8.5068091030241523E-3</v>
      </c>
      <c r="E32" s="24">
        <f t="shared" si="15"/>
        <v>13586.886533576298</v>
      </c>
      <c r="F32" s="29">
        <f t="shared" si="5"/>
        <v>-1.3772186833382775E-2</v>
      </c>
      <c r="G32" s="28">
        <f t="shared" si="16"/>
        <v>13288.530537633198</v>
      </c>
      <c r="H32" s="29">
        <f t="shared" si="6"/>
        <v>8.4893526086835657E-3</v>
      </c>
      <c r="J32" s="30">
        <f t="shared" si="7"/>
        <v>0.14632149540918937</v>
      </c>
      <c r="K32" s="30">
        <f t="shared" si="8"/>
        <v>0.36580373852297343</v>
      </c>
      <c r="M32" s="31">
        <f t="shared" si="9"/>
        <v>2454867.3339229785</v>
      </c>
      <c r="N32" s="20" t="str">
        <f t="shared" si="0"/>
        <v>257553</v>
      </c>
      <c r="R32">
        <f t="shared" si="4"/>
        <v>80.603450324124381</v>
      </c>
      <c r="S32">
        <f t="shared" si="17"/>
        <v>-5.6034503241243812</v>
      </c>
    </row>
    <row r="33" spans="1:19" s="19" customFormat="1" x14ac:dyDescent="0.2">
      <c r="A33" s="22">
        <v>80</v>
      </c>
      <c r="B33" s="28">
        <v>11257.693146645792</v>
      </c>
      <c r="C33" s="28">
        <f t="shared" si="14"/>
        <v>11206.433974268542</v>
      </c>
      <c r="D33" s="29">
        <f t="shared" si="12"/>
        <v>4.5532572001682169E-3</v>
      </c>
      <c r="E33" s="24">
        <f t="shared" si="15"/>
        <v>11479.76072793033</v>
      </c>
      <c r="F33" s="29">
        <f t="shared" si="5"/>
        <v>-1.9725851326006606E-2</v>
      </c>
      <c r="G33" s="28">
        <f t="shared" si="16"/>
        <v>11206.647935421508</v>
      </c>
      <c r="H33" s="29">
        <f t="shared" si="6"/>
        <v>4.5342514278329388E-3</v>
      </c>
      <c r="J33" s="30">
        <f t="shared" si="7"/>
        <v>0.13032882990233</v>
      </c>
      <c r="K33" s="30">
        <f t="shared" si="8"/>
        <v>0.32582207475582498</v>
      </c>
      <c r="M33" s="31">
        <f t="shared" si="9"/>
        <v>2186554.9302986492</v>
      </c>
      <c r="N33" s="20" t="str">
        <f t="shared" si="0"/>
        <v>215D3A</v>
      </c>
      <c r="R33">
        <f t="shared" si="4"/>
        <v>85.582428050690481</v>
      </c>
      <c r="S33">
        <f t="shared" si="17"/>
        <v>-5.5824280506904813</v>
      </c>
    </row>
    <row r="34" spans="1:19" x14ac:dyDescent="0.2">
      <c r="A34" s="21">
        <v>85</v>
      </c>
      <c r="B34" s="7">
        <v>9496</v>
      </c>
      <c r="C34" s="7">
        <f>B$14*EXP(B$36*(1/(273.15+A34)-(1/298.15)))</f>
        <v>9495.804978537406</v>
      </c>
      <c r="D34" s="6">
        <f t="shared" si="12"/>
        <v>2.0537222261374626E-5</v>
      </c>
      <c r="E34" s="1">
        <f>B$14*EXP(B$38*(1/(273.15+A34)-(1/298.15)))</f>
        <v>9745.1650805176032</v>
      </c>
      <c r="F34" s="6">
        <f t="shared" si="5"/>
        <v>-2.6238951191828477E-2</v>
      </c>
      <c r="G34" s="7">
        <f>B$14*EXP(B$37*(1/(273.15+A34)-(1/298.15)))</f>
        <v>9496.0000000000018</v>
      </c>
      <c r="H34" s="6">
        <f t="shared" si="6"/>
        <v>-1.9155322278284082E-16</v>
      </c>
      <c r="J34" s="2">
        <f t="shared" si="7"/>
        <v>0.1156713752585815</v>
      </c>
      <c r="K34" s="2">
        <f t="shared" si="8"/>
        <v>0.28917843814645372</v>
      </c>
      <c r="M34" s="4">
        <f t="shared" si="9"/>
        <v>1940643.6477302776</v>
      </c>
      <c r="N34" s="5" t="str">
        <f t="shared" si="0"/>
        <v>1D9CA3</v>
      </c>
      <c r="R34">
        <f t="shared" si="4"/>
        <v>90.145716150980917</v>
      </c>
      <c r="S34">
        <f t="shared" si="17"/>
        <v>-5.1457161509809168</v>
      </c>
    </row>
    <row r="36" spans="1:19" x14ac:dyDescent="0.2">
      <c r="A36" t="s">
        <v>12</v>
      </c>
      <c r="B36" s="4">
        <v>4190</v>
      </c>
    </row>
    <row r="37" spans="1:19" x14ac:dyDescent="0.2">
      <c r="A37" t="s">
        <v>10</v>
      </c>
      <c r="B37" s="4">
        <f>LN(B34/B14)/(1/(273.15+A34)-1/(273.15+A14))</f>
        <v>4189.9634493855992</v>
      </c>
      <c r="N37" s="1"/>
    </row>
    <row r="38" spans="1:19" x14ac:dyDescent="0.2">
      <c r="A38" t="s">
        <v>13</v>
      </c>
      <c r="B38" s="4">
        <f>LN(B29/B14)/(1/(273.15+A29)-1/(273.15+A14))</f>
        <v>4143.8679415415663</v>
      </c>
    </row>
    <row r="42" spans="1:19" x14ac:dyDescent="0.2">
      <c r="A42" t="s">
        <v>16</v>
      </c>
      <c r="B42">
        <v>0</v>
      </c>
      <c r="C42" s="9" t="s">
        <v>22</v>
      </c>
      <c r="E42">
        <f>HEX2DEC(C42)</f>
        <v>2633904</v>
      </c>
      <c r="F42" s="2">
        <f>2.5*E42/16777215</f>
        <v>0.39248230412496948</v>
      </c>
      <c r="H42" t="s">
        <v>17</v>
      </c>
      <c r="I42" s="10">
        <f>F42/2.5</f>
        <v>0.15699292164998779</v>
      </c>
      <c r="J42" t="s">
        <v>18</v>
      </c>
      <c r="K42" s="2">
        <f>(I42*100*330)/((1-I42)*330-(I42*100))</f>
        <v>19.736776036465276</v>
      </c>
      <c r="L42" t="s">
        <v>19</v>
      </c>
      <c r="M42" s="11">
        <f>(298.15*4144)/(4144+298.15*LN(K42/100))-273.15</f>
        <v>64.409407173645604</v>
      </c>
      <c r="N42" t="s">
        <v>20</v>
      </c>
      <c r="O42" s="4">
        <f>9*M42/5+32</f>
        <v>147.9369329125621</v>
      </c>
    </row>
    <row r="43" spans="1:19" x14ac:dyDescent="0.2">
      <c r="A43" t="s">
        <v>16</v>
      </c>
      <c r="B43">
        <v>0</v>
      </c>
      <c r="C43" s="9" t="s">
        <v>21</v>
      </c>
      <c r="E43">
        <f>HEX2DEC(C43)</f>
        <v>7381494</v>
      </c>
      <c r="F43" s="2">
        <f>2.5*E43/16777215</f>
        <v>1.0999283850150339</v>
      </c>
      <c r="H43" t="s">
        <v>17</v>
      </c>
      <c r="I43" s="10">
        <f>F43/2.5</f>
        <v>0.43997135400601356</v>
      </c>
      <c r="J43" t="s">
        <v>18</v>
      </c>
      <c r="K43" s="2">
        <f>(I43*100*330)/((1-I43)*330-(I43*100))</f>
        <v>103.10926566203612</v>
      </c>
      <c r="L43" t="s">
        <v>19</v>
      </c>
      <c r="M43" s="11">
        <f>(298.15*4144)/(4144+298.15*LN(K43/100))-273.15</f>
        <v>24.344630513331367</v>
      </c>
      <c r="N43" t="s">
        <v>20</v>
      </c>
      <c r="O43" s="4">
        <f>9*M43/5+32</f>
        <v>75.820334923996455</v>
      </c>
    </row>
  </sheetData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Charts</vt:lpstr>
      </vt:variant>
      <vt:variant>
        <vt:i4>3</vt:i4>
      </vt:variant>
    </vt:vector>
  </HeadingPairs>
  <TitlesOfParts>
    <vt:vector size="6" baseType="lpstr">
      <vt:lpstr>NTCVishay</vt:lpstr>
      <vt:lpstr>NTC2</vt:lpstr>
      <vt:lpstr>Sheet3</vt:lpstr>
      <vt:lpstr>Chart1</vt:lpstr>
      <vt:lpstr>Chart2</vt:lpstr>
      <vt:lpstr>Chart4</vt:lpstr>
    </vt:vector>
  </TitlesOfParts>
  <Company>Western Michigan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WMU RFID Lab</dc:creator>
  <cp:lastModifiedBy>Brad Bazuin</cp:lastModifiedBy>
  <dcterms:created xsi:type="dcterms:W3CDTF">2014-07-01T13:57:18Z</dcterms:created>
  <dcterms:modified xsi:type="dcterms:W3CDTF">2017-07-05T14:48:17Z</dcterms:modified>
</cp:coreProperties>
</file>